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nchej\Documents\Julie\ELISA_IgA\data\raw-data\Traitements\"/>
    </mc:Choice>
  </mc:AlternateContent>
  <bookViews>
    <workbookView xWindow="11745" yWindow="0" windowWidth="7545" windowHeight="10170" activeTab="3"/>
  </bookViews>
  <sheets>
    <sheet name="absorbances" sheetId="1" r:id="rId1"/>
    <sheet name="courbe_etalon" sheetId="3" r:id="rId2"/>
    <sheet name="poids" sheetId="4" r:id="rId3"/>
    <sheet name="quantification" sheetId="2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" i="2" l="1"/>
  <c r="D38" i="2"/>
  <c r="D30" i="2"/>
  <c r="L19" i="2" l="1"/>
  <c r="L20" i="2"/>
  <c r="L21" i="2"/>
  <c r="L22" i="2"/>
  <c r="L23" i="2"/>
  <c r="L24" i="2"/>
  <c r="L25" i="2"/>
  <c r="L18" i="2"/>
  <c r="L11" i="2"/>
  <c r="L12" i="2"/>
  <c r="L13" i="2"/>
  <c r="L14" i="2"/>
  <c r="L15" i="2"/>
  <c r="L16" i="2"/>
  <c r="L17" i="2"/>
  <c r="L10" i="2"/>
  <c r="B2" i="4" l="1"/>
  <c r="F8" i="3" l="1"/>
  <c r="F7" i="3"/>
  <c r="B4" i="3"/>
  <c r="B5" i="3" s="1"/>
  <c r="B6" i="3" s="1"/>
  <c r="B7" i="3" s="1"/>
  <c r="B8" i="3" s="1"/>
  <c r="B9" i="3" s="1"/>
  <c r="B10" i="3" s="1"/>
  <c r="B11" i="3" s="1"/>
  <c r="B12" i="3" s="1"/>
  <c r="B13" i="3" s="1"/>
  <c r="C44" i="1" l="1"/>
  <c r="E2" i="4" l="1"/>
  <c r="E3" i="4"/>
  <c r="E4" i="4"/>
  <c r="E5" i="4"/>
  <c r="E6" i="4"/>
  <c r="E7" i="4"/>
  <c r="E8" i="4"/>
  <c r="E9" i="4"/>
  <c r="J44" i="1" l="1"/>
  <c r="C43" i="1"/>
  <c r="K44" i="1"/>
  <c r="J41" i="1"/>
  <c r="G46" i="1"/>
  <c r="E41" i="1"/>
  <c r="F9" i="4"/>
  <c r="L9" i="2" s="1"/>
  <c r="F8" i="4"/>
  <c r="L8" i="2" s="1"/>
  <c r="F7" i="4"/>
  <c r="L7" i="2" s="1"/>
  <c r="F6" i="4"/>
  <c r="L6" i="2" s="1"/>
  <c r="F5" i="4"/>
  <c r="L5" i="2" s="1"/>
  <c r="F4" i="4"/>
  <c r="L4" i="2" s="1"/>
  <c r="F3" i="4"/>
  <c r="L3" i="2" s="1"/>
  <c r="F2" i="4"/>
  <c r="L2" i="2" s="1"/>
  <c r="A1" i="3"/>
  <c r="K45" i="1" l="1"/>
  <c r="K40" i="1"/>
  <c r="K39" i="1"/>
  <c r="B39" i="1"/>
  <c r="F6" i="3" l="1"/>
  <c r="A19" i="2" l="1"/>
  <c r="B19" i="2" s="1"/>
  <c r="A20" i="2"/>
  <c r="B20" i="2" s="1"/>
  <c r="A21" i="2"/>
  <c r="B21" i="2" s="1"/>
  <c r="A22" i="2"/>
  <c r="B22" i="2" s="1"/>
  <c r="A23" i="2"/>
  <c r="B23" i="2" s="1"/>
  <c r="A24" i="2"/>
  <c r="B24" i="2" s="1"/>
  <c r="A25" i="2"/>
  <c r="B25" i="2" s="1"/>
  <c r="A18" i="2"/>
  <c r="B18" i="2" s="1"/>
  <c r="A9" i="2"/>
  <c r="B9" i="2" s="1"/>
  <c r="A11" i="2"/>
  <c r="B11" i="2" s="1"/>
  <c r="A12" i="2"/>
  <c r="B12" i="2" s="1"/>
  <c r="A13" i="2"/>
  <c r="B13" i="2" s="1"/>
  <c r="A14" i="2"/>
  <c r="B14" i="2" s="1"/>
  <c r="A15" i="2"/>
  <c r="B15" i="2" s="1"/>
  <c r="A16" i="2"/>
  <c r="B16" i="2" s="1"/>
  <c r="A17" i="2"/>
  <c r="B17" i="2" s="1"/>
  <c r="B3" i="4"/>
  <c r="B4" i="4"/>
  <c r="B5" i="4"/>
  <c r="B6" i="4"/>
  <c r="B7" i="4"/>
  <c r="B8" i="4"/>
  <c r="B9" i="4"/>
  <c r="D43" i="1"/>
  <c r="C39" i="1"/>
  <c r="A3" i="4"/>
  <c r="A4" i="4" s="1"/>
  <c r="A5" i="4" s="1"/>
  <c r="A6" i="4" s="1"/>
  <c r="A7" i="4" s="1"/>
  <c r="A8" i="4" s="1"/>
  <c r="A9" i="4" s="1"/>
  <c r="A10" i="2" l="1"/>
  <c r="B10" i="2" s="1"/>
  <c r="A3" i="2"/>
  <c r="B3" i="2" s="1"/>
  <c r="A4" i="2"/>
  <c r="B4" i="2" s="1"/>
  <c r="A5" i="2"/>
  <c r="B5" i="2" s="1"/>
  <c r="A6" i="2"/>
  <c r="B6" i="2" s="1"/>
  <c r="A7" i="2"/>
  <c r="B7" i="2" s="1"/>
  <c r="A8" i="2"/>
  <c r="B8" i="2" s="1"/>
  <c r="A2" i="2"/>
  <c r="B2" i="2" s="1"/>
  <c r="D39" i="1"/>
  <c r="E39" i="1"/>
  <c r="F39" i="1"/>
  <c r="G39" i="1"/>
  <c r="H39" i="1"/>
  <c r="I39" i="1"/>
  <c r="J39" i="1"/>
  <c r="L39" i="1"/>
  <c r="M39" i="1"/>
  <c r="C40" i="1"/>
  <c r="D40" i="1"/>
  <c r="E40" i="1"/>
  <c r="F40" i="1"/>
  <c r="G40" i="1"/>
  <c r="H40" i="1"/>
  <c r="I40" i="1"/>
  <c r="J40" i="1"/>
  <c r="L40" i="1"/>
  <c r="M40" i="1"/>
  <c r="C41" i="1"/>
  <c r="D41" i="1"/>
  <c r="F41" i="1"/>
  <c r="G41" i="1"/>
  <c r="H41" i="1"/>
  <c r="I41" i="1"/>
  <c r="K41" i="1"/>
  <c r="L41" i="1"/>
  <c r="M41" i="1"/>
  <c r="C42" i="1"/>
  <c r="D42" i="1"/>
  <c r="E42" i="1"/>
  <c r="F42" i="1"/>
  <c r="G42" i="1"/>
  <c r="H42" i="1"/>
  <c r="I42" i="1"/>
  <c r="J42" i="1"/>
  <c r="K42" i="1"/>
  <c r="L42" i="1"/>
  <c r="M42" i="1"/>
  <c r="E43" i="1"/>
  <c r="F43" i="1"/>
  <c r="G43" i="1"/>
  <c r="H43" i="1"/>
  <c r="I43" i="1"/>
  <c r="J43" i="1"/>
  <c r="K43" i="1"/>
  <c r="L43" i="1"/>
  <c r="M43" i="1"/>
  <c r="D44" i="1"/>
  <c r="E44" i="1"/>
  <c r="F44" i="1"/>
  <c r="G44" i="1"/>
  <c r="H44" i="1"/>
  <c r="I44" i="1"/>
  <c r="L44" i="1"/>
  <c r="M44" i="1"/>
  <c r="C45" i="1"/>
  <c r="D45" i="1"/>
  <c r="E45" i="1"/>
  <c r="F45" i="1"/>
  <c r="G45" i="1"/>
  <c r="H45" i="1"/>
  <c r="I45" i="1"/>
  <c r="J45" i="1"/>
  <c r="L45" i="1"/>
  <c r="M45" i="1"/>
  <c r="C46" i="1"/>
  <c r="D46" i="1"/>
  <c r="E46" i="1"/>
  <c r="F46" i="1"/>
  <c r="H46" i="1"/>
  <c r="I46" i="1"/>
  <c r="J46" i="1"/>
  <c r="K46" i="1"/>
  <c r="L46" i="1"/>
  <c r="M46" i="1"/>
  <c r="B40" i="1"/>
  <c r="B41" i="1"/>
  <c r="B42" i="1"/>
  <c r="B43" i="1"/>
  <c r="B44" i="1"/>
  <c r="B45" i="1"/>
  <c r="B46" i="1"/>
  <c r="K47" i="1" l="1"/>
  <c r="C55" i="1" l="1"/>
  <c r="K52" i="1"/>
  <c r="I55" i="1"/>
  <c r="H53" i="1"/>
  <c r="B57" i="1"/>
  <c r="K54" i="1"/>
  <c r="B54" i="1"/>
  <c r="B56" i="1"/>
  <c r="B58" i="1"/>
  <c r="D57" i="1"/>
  <c r="I57" i="1"/>
  <c r="C53" i="1"/>
  <c r="G56" i="1"/>
  <c r="G53" i="1"/>
  <c r="H55" i="1"/>
  <c r="C21" i="2" s="1"/>
  <c r="E21" i="2" s="1"/>
  <c r="M52" i="1"/>
  <c r="J59" i="1"/>
  <c r="H59" i="1"/>
  <c r="C25" i="2" s="1"/>
  <c r="E25" i="2" s="1"/>
  <c r="G55" i="1"/>
  <c r="F58" i="1"/>
  <c r="L54" i="1"/>
  <c r="J53" i="1"/>
  <c r="E55" i="1"/>
  <c r="E56" i="1"/>
  <c r="M57" i="1"/>
  <c r="K56" i="1"/>
  <c r="D55" i="1"/>
  <c r="F53" i="1"/>
  <c r="I53" i="1"/>
  <c r="J55" i="1"/>
  <c r="D54" i="1"/>
  <c r="M59" i="1"/>
  <c r="H56" i="1"/>
  <c r="L55" i="1"/>
  <c r="B53" i="1"/>
  <c r="G54" i="1"/>
  <c r="D58" i="1"/>
  <c r="C58" i="1"/>
  <c r="L52" i="1"/>
  <c r="L65" i="1" s="1"/>
  <c r="J52" i="1"/>
  <c r="M54" i="1"/>
  <c r="B59" i="1"/>
  <c r="I54" i="1"/>
  <c r="M56" i="1"/>
  <c r="L57" i="1"/>
  <c r="L70" i="1" s="1"/>
  <c r="E53" i="1"/>
  <c r="G58" i="1"/>
  <c r="L53" i="1"/>
  <c r="E52" i="1"/>
  <c r="C59" i="1"/>
  <c r="D53" i="1"/>
  <c r="J58" i="1"/>
  <c r="D52" i="1"/>
  <c r="H52" i="1"/>
  <c r="H58" i="1"/>
  <c r="G52" i="1"/>
  <c r="K59" i="1"/>
  <c r="L58" i="1"/>
  <c r="L71" i="1" s="1"/>
  <c r="L56" i="1"/>
  <c r="H57" i="1"/>
  <c r="L59" i="1"/>
  <c r="M55" i="1"/>
  <c r="G57" i="1"/>
  <c r="I59" i="1"/>
  <c r="M53" i="1"/>
  <c r="L66" i="1" s="1"/>
  <c r="K55" i="1"/>
  <c r="E57" i="1"/>
  <c r="F56" i="1"/>
  <c r="J54" i="1"/>
  <c r="G59" i="1"/>
  <c r="K57" i="1"/>
  <c r="E54" i="1"/>
  <c r="C56" i="1"/>
  <c r="J57" i="1"/>
  <c r="B52" i="1"/>
  <c r="K53" i="1"/>
  <c r="K58" i="1"/>
  <c r="C52" i="1"/>
  <c r="D56" i="1"/>
  <c r="B69" i="1" s="1"/>
  <c r="B55" i="1"/>
  <c r="I56" i="1"/>
  <c r="I52" i="1"/>
  <c r="I58" i="1"/>
  <c r="C54" i="1"/>
  <c r="D59" i="1"/>
  <c r="E58" i="1"/>
  <c r="F59" i="1"/>
  <c r="F52" i="1"/>
  <c r="F55" i="1"/>
  <c r="H54" i="1"/>
  <c r="C57" i="1"/>
  <c r="F57" i="1"/>
  <c r="F54" i="1"/>
  <c r="J56" i="1"/>
  <c r="E59" i="1"/>
  <c r="C17" i="2" s="1"/>
  <c r="E17" i="2" s="1"/>
  <c r="M58" i="1"/>
  <c r="A4" i="3"/>
  <c r="F25" i="2" l="1"/>
  <c r="G25" i="2" s="1"/>
  <c r="I25" i="2" s="1"/>
  <c r="F21" i="2"/>
  <c r="G21" i="2" s="1"/>
  <c r="I21" i="2" s="1"/>
  <c r="F17" i="2"/>
  <c r="G17" i="2" s="1"/>
  <c r="I17" i="2" s="1"/>
  <c r="J17" i="2" s="1"/>
  <c r="K17" i="2" s="1"/>
  <c r="E72" i="1"/>
  <c r="L68" i="1"/>
  <c r="K67" i="1"/>
  <c r="A13" i="3"/>
  <c r="A11" i="3"/>
  <c r="K65" i="1"/>
  <c r="B68" i="1"/>
  <c r="K66" i="1"/>
  <c r="A12" i="3"/>
  <c r="C23" i="2"/>
  <c r="E23" i="2" s="1"/>
  <c r="C10" i="2"/>
  <c r="E10" i="2" s="1"/>
  <c r="C15" i="2"/>
  <c r="E15" i="2" s="1"/>
  <c r="C7" i="2"/>
  <c r="E7" i="2" s="1"/>
  <c r="F7" i="2" s="1"/>
  <c r="G7" i="2" s="1"/>
  <c r="I7" i="2" s="1"/>
  <c r="J7" i="2" s="1"/>
  <c r="K7" i="2" s="1"/>
  <c r="B67" i="1"/>
  <c r="C2" i="2"/>
  <c r="A6" i="3"/>
  <c r="B72" i="1"/>
  <c r="C19" i="2"/>
  <c r="E19" i="2" s="1"/>
  <c r="C12" i="2"/>
  <c r="E12" i="2" s="1"/>
  <c r="E65" i="1"/>
  <c r="A8" i="3"/>
  <c r="C9" i="2"/>
  <c r="E9" i="2" s="1"/>
  <c r="F9" i="2" s="1"/>
  <c r="G9" i="2" s="1"/>
  <c r="I9" i="2" s="1"/>
  <c r="J9" i="2" s="1"/>
  <c r="K9" i="2" s="1"/>
  <c r="C11" i="2"/>
  <c r="E11" i="2" s="1"/>
  <c r="E67" i="1"/>
  <c r="C4" i="2"/>
  <c r="E4" i="2" s="1"/>
  <c r="F4" i="2" s="1"/>
  <c r="G4" i="2" s="1"/>
  <c r="I4" i="2" s="1"/>
  <c r="J4" i="2" s="1"/>
  <c r="K4" i="2" s="1"/>
  <c r="B70" i="1"/>
  <c r="C13" i="2"/>
  <c r="E13" i="2" s="1"/>
  <c r="C14" i="2"/>
  <c r="E14" i="2" s="1"/>
  <c r="E69" i="1"/>
  <c r="E68" i="1"/>
  <c r="A3" i="3"/>
  <c r="H68" i="1"/>
  <c r="C3" i="2"/>
  <c r="E3" i="2" s="1"/>
  <c r="F3" i="2" s="1"/>
  <c r="G3" i="2" s="1"/>
  <c r="I3" i="2" s="1"/>
  <c r="J3" i="2" s="1"/>
  <c r="K3" i="2" s="1"/>
  <c r="B66" i="1"/>
  <c r="C8" i="2"/>
  <c r="E8" i="2" s="1"/>
  <c r="F8" i="2" s="1"/>
  <c r="G8" i="2" s="1"/>
  <c r="I8" i="2" s="1"/>
  <c r="J8" i="2" s="1"/>
  <c r="K8" i="2" s="1"/>
  <c r="B71" i="1"/>
  <c r="A7" i="3"/>
  <c r="C24" i="2"/>
  <c r="E24" i="2" s="1"/>
  <c r="H71" i="1"/>
  <c r="C22" i="2"/>
  <c r="E22" i="2" s="1"/>
  <c r="H69" i="1"/>
  <c r="H67" i="1"/>
  <c r="C20" i="2"/>
  <c r="E20" i="2" s="1"/>
  <c r="C5" i="2"/>
  <c r="E5" i="2" s="1"/>
  <c r="F5" i="2" s="1"/>
  <c r="G5" i="2" s="1"/>
  <c r="I5" i="2" s="1"/>
  <c r="J5" i="2" s="1"/>
  <c r="K5" i="2" s="1"/>
  <c r="L69" i="1"/>
  <c r="H72" i="1"/>
  <c r="E70" i="1"/>
  <c r="C6" i="2"/>
  <c r="E6" i="2" s="1"/>
  <c r="F6" i="2" s="1"/>
  <c r="G6" i="2" s="1"/>
  <c r="I6" i="2" s="1"/>
  <c r="J6" i="2" s="1"/>
  <c r="K6" i="2" s="1"/>
  <c r="L72" i="1"/>
  <c r="A10" i="3"/>
  <c r="C18" i="2"/>
  <c r="E18" i="2" s="1"/>
  <c r="H65" i="1"/>
  <c r="H66" i="1"/>
  <c r="H70" i="1"/>
  <c r="E66" i="1"/>
  <c r="L67" i="1"/>
  <c r="A5" i="3"/>
  <c r="B65" i="1"/>
  <c r="A9" i="3"/>
  <c r="E71" i="1"/>
  <c r="C16" i="2"/>
  <c r="E16" i="2" s="1"/>
  <c r="E2" i="2"/>
  <c r="F2" i="2" s="1"/>
  <c r="G2" i="2" s="1"/>
  <c r="J21" i="2" l="1"/>
  <c r="K21" i="2" s="1"/>
  <c r="J25" i="2"/>
  <c r="K25" i="2" s="1"/>
  <c r="F18" i="2"/>
  <c r="G18" i="2" s="1"/>
  <c r="I18" i="2" s="1"/>
  <c r="F15" i="2"/>
  <c r="G15" i="2" s="1"/>
  <c r="I15" i="2" s="1"/>
  <c r="F14" i="2"/>
  <c r="G14" i="2" s="1"/>
  <c r="I14" i="2" s="1"/>
  <c r="F22" i="2"/>
  <c r="G22" i="2" s="1"/>
  <c r="I22" i="2" s="1"/>
  <c r="F12" i="2"/>
  <c r="G12" i="2" s="1"/>
  <c r="I12" i="2" s="1"/>
  <c r="F10" i="2"/>
  <c r="G10" i="2" s="1"/>
  <c r="I10" i="2" s="1"/>
  <c r="F11" i="2"/>
  <c r="G11" i="2" s="1"/>
  <c r="I11" i="2" s="1"/>
  <c r="F16" i="2"/>
  <c r="G16" i="2" s="1"/>
  <c r="I16" i="2" s="1"/>
  <c r="F24" i="2"/>
  <c r="G24" i="2" s="1"/>
  <c r="I24" i="2" s="1"/>
  <c r="F19" i="2"/>
  <c r="G19" i="2" s="1"/>
  <c r="I19" i="2" s="1"/>
  <c r="F23" i="2"/>
  <c r="G23" i="2" s="1"/>
  <c r="I23" i="2" s="1"/>
  <c r="F13" i="2"/>
  <c r="G13" i="2" s="1"/>
  <c r="I13" i="2" s="1"/>
  <c r="F20" i="2"/>
  <c r="G20" i="2" s="1"/>
  <c r="I20" i="2" s="1"/>
  <c r="I2" i="2"/>
  <c r="J2" i="2" s="1"/>
  <c r="K2" i="2" s="1"/>
  <c r="J16" i="2" l="1"/>
  <c r="K16" i="2" s="1"/>
  <c r="J20" i="2"/>
  <c r="K20" i="2" s="1"/>
  <c r="J23" i="2"/>
  <c r="K23" i="2" s="1"/>
  <c r="J24" i="2"/>
  <c r="K24" i="2" s="1"/>
  <c r="J12" i="2"/>
  <c r="K12" i="2" s="1"/>
  <c r="J13" i="2"/>
  <c r="K13" i="2" s="1"/>
  <c r="J19" i="2"/>
  <c r="K19" i="2" s="1"/>
  <c r="J11" i="2"/>
  <c r="K11" i="2" s="1"/>
  <c r="J10" i="2"/>
  <c r="K10" i="2" s="1"/>
  <c r="J22" i="2"/>
  <c r="K22" i="2" s="1"/>
  <c r="J14" i="2"/>
  <c r="K14" i="2" s="1"/>
  <c r="J15" i="2"/>
  <c r="K15" i="2" s="1"/>
  <c r="J18" i="2"/>
  <c r="K18" i="2" s="1"/>
</calcChain>
</file>

<file path=xl/sharedStrings.xml><?xml version="1.0" encoding="utf-8"?>
<sst xmlns="http://schemas.openxmlformats.org/spreadsheetml/2006/main" count="223" uniqueCount="80">
  <si>
    <t>A</t>
  </si>
  <si>
    <t>B</t>
  </si>
  <si>
    <t>C</t>
  </si>
  <si>
    <t>D</t>
  </si>
  <si>
    <t>E</t>
  </si>
  <si>
    <t>F</t>
  </si>
  <si>
    <t>G</t>
  </si>
  <si>
    <t>H</t>
  </si>
  <si>
    <t>ABSORBANCE 450nm</t>
  </si>
  <si>
    <t>ABSORBANCE 620nm</t>
  </si>
  <si>
    <t>ABSORBANCE CORRIGEE</t>
  </si>
  <si>
    <t>PLAN DE PLAQUE</t>
  </si>
  <si>
    <t>numero_centre</t>
  </si>
  <si>
    <t>abs_moyenne</t>
  </si>
  <si>
    <t>absorbance_moyenne</t>
  </si>
  <si>
    <t>equation</t>
  </si>
  <si>
    <t>quantif_ng.mL-1</t>
  </si>
  <si>
    <t>facteur de dilution</t>
  </si>
  <si>
    <t>quantif_corr_ng.mL-1</t>
  </si>
  <si>
    <t>ng.µL</t>
  </si>
  <si>
    <t>tube</t>
  </si>
  <si>
    <t>poids_tube_(g)</t>
  </si>
  <si>
    <t>poids_tube_et_crotte_(g)</t>
  </si>
  <si>
    <t>poids_réel_crotte_(g)</t>
  </si>
  <si>
    <t>µg</t>
  </si>
  <si>
    <t>corrigpoids_µg.g</t>
  </si>
  <si>
    <t>code_echantillon</t>
  </si>
  <si>
    <t>concentration_ng.mL-1</t>
  </si>
  <si>
    <t>NEG ELISA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</si>
  <si>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</si>
  <si>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</si>
  <si>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</si>
  <si>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</si>
  <si>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</si>
  <si>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</si>
  <si>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</si>
  <si>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</si>
  <si>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</si>
  <si>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</si>
  <si>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S1bis</t>
  </si>
  <si>
    <t>S2bis</t>
  </si>
  <si>
    <t>S9bis</t>
  </si>
  <si>
    <t>S3bis</t>
  </si>
  <si>
    <t>S10bis</t>
  </si>
  <si>
    <t>S4bis</t>
  </si>
  <si>
    <t>S5bis</t>
  </si>
  <si>
    <t>S6bis</t>
  </si>
  <si>
    <t>ABSORBANCE CORRIGEE AVEC NEGATIF</t>
  </si>
  <si>
    <t>plaque</t>
  </si>
  <si>
    <t>corrigpoids_ng.g</t>
  </si>
  <si>
    <t>ECART TYPE</t>
  </si>
  <si>
    <t>PLAQUE TEST DILUTION</t>
  </si>
  <si>
    <t>S0bis</t>
  </si>
  <si>
    <t>S8bis</t>
  </si>
  <si>
    <t>S7 bis</t>
  </si>
  <si>
    <t>S0</t>
  </si>
  <si>
    <t>NCHA100079_FA-1</t>
  </si>
  <si>
    <t>NCHA100091_FA-1</t>
  </si>
  <si>
    <t>NCHA100096_FA-1</t>
  </si>
  <si>
    <t>NCHA100099_FA-1</t>
  </si>
  <si>
    <t>NCHA100245_FA-1</t>
  </si>
  <si>
    <t>NCHA100246_FA-1</t>
  </si>
  <si>
    <t>NCHA100247_FA-1</t>
  </si>
  <si>
    <t>NCHA100249_FA-1</t>
  </si>
  <si>
    <t>Type</t>
  </si>
  <si>
    <t>moyenne</t>
  </si>
  <si>
    <t>abs_moyenne1</t>
  </si>
  <si>
    <t>abs_moyenne2</t>
  </si>
  <si>
    <t>abs_moyenne3</t>
  </si>
  <si>
    <t>NCHA100079</t>
  </si>
  <si>
    <t>NCHA100091</t>
  </si>
  <si>
    <t>NCHA100096</t>
  </si>
  <si>
    <t>NCHA100099</t>
  </si>
  <si>
    <t>NCHA100245</t>
  </si>
  <si>
    <t>NCHA100246</t>
  </si>
  <si>
    <t>NCHA100247</t>
  </si>
  <si>
    <t>NCHA100249</t>
  </si>
  <si>
    <t>quantif_ng.mL-1_1</t>
  </si>
  <si>
    <t>quantif_ng.mL-1_2</t>
  </si>
  <si>
    <t>quantif_ng.mL-1_3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</si>
</sst>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000"/>
    <numFmt numFmtId="166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indexed="64"/>
      <name val="Calibri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69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7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0" borderId="1" xfId="0" applyFill="1" applyBorder="1" applyAlignment="1">
      <alignment horizontal="center" vertical="center"/>
    </xf>
    <xf numFmtId="166" fontId="0" fillId="4" borderId="1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6" fontId="0" fillId="10" borderId="1" xfId="0" applyNumberFormat="1" applyFill="1" applyBorder="1" applyAlignment="1">
      <alignment horizontal="center" vertical="center"/>
    </xf>
    <xf numFmtId="0" fontId="1" fillId="0" borderId="1" xfId="0" applyFont="1" applyBorder="1"/>
    <xf numFmtId="0" fontId="1" fillId="7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/>
    <xf numFmtId="0" fontId="0" fillId="11" borderId="1" xfId="0" applyFill="1" applyBorder="1"/>
    <xf numFmtId="0" fontId="0" fillId="10" borderId="1" xfId="0" applyFill="1" applyBorder="1"/>
    <xf numFmtId="0" fontId="0" fillId="11" borderId="1" xfId="0" applyFill="1" applyBorder="1" applyAlignment="1">
      <alignment horizontal="center" vertical="center"/>
    </xf>
    <xf numFmtId="164" fontId="0" fillId="12" borderId="0" xfId="0" applyNumberFormat="1" applyFill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11" borderId="1" xfId="0" applyNumberForma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164" fontId="0" fillId="11" borderId="0" xfId="0" applyNumberForma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166" fontId="0" fillId="6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0" xfId="0" applyFill="1"/>
    <xf numFmtId="165" fontId="0" fillId="2" borderId="0" xfId="0" applyNumberFormat="1" applyFill="1"/>
    <xf numFmtId="165" fontId="0" fillId="6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/>
    <xf numFmtId="0" fontId="0" fillId="6" borderId="1" xfId="0" applyFill="1" applyBorder="1"/>
    <xf numFmtId="0" fontId="0" fillId="4" borderId="1" xfId="0" applyFill="1" applyBorder="1"/>
    <xf numFmtId="165" fontId="0" fillId="2" borderId="1" xfId="0" applyNumberFormat="1" applyFill="1" applyBorder="1"/>
    <xf numFmtId="165" fontId="0" fillId="6" borderId="1" xfId="0" applyNumberFormat="1" applyFill="1" applyBorder="1"/>
    <xf numFmtId="165" fontId="0" fillId="4" borderId="1" xfId="0" applyNumberFormat="1" applyFill="1" applyBorder="1"/>
  </cellXfs>
  <cellStyles count="2">
    <cellStyle name="Normal" xfId="0" builtinId="0"/>
    <cellStyle name="Normal 5" xfId="1"/>
  </cellStyles>
  <dxfs count="0"/>
  <tableStyles count="0" defaultTableStyle="TableStyleMedium2" defaultPivotStyle="PivotStyleLight16"/>
  <colors>
    <mruColors>
      <color rgb="FFFF81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102077865266842"/>
          <c:y val="3.34928229665071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courbe_etalon!$B$2</c:f>
              <c:strCache>
                <c:ptCount val="1"/>
                <c:pt idx="0">
                  <c:v>concentration_ng.mL-1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24050831146106735"/>
                  <c:y val="2.943496646252551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fr-FR" sz="2000" baseline="0"/>
                      <a:t>y = 0,1392e</a:t>
                    </a:r>
                    <a:r>
                      <a:rPr lang="fr-FR" sz="2000" baseline="30000"/>
                      <a:t>7,5601x</a:t>
                    </a:r>
                    <a:endParaRPr lang="fr-FR" sz="20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courbe_etalon!$A$3:$A$13</c:f>
              <c:numCache>
                <c:formatCode>General</c:formatCode>
                <c:ptCount val="11"/>
                <c:pt idx="0">
                  <c:v>0.77799999999999991</c:v>
                </c:pt>
                <c:pt idx="1">
                  <c:v>0.72299999999999998</c:v>
                </c:pt>
                <c:pt idx="2">
                  <c:v>0.621</c:v>
                </c:pt>
                <c:pt idx="3">
                  <c:v>0.50049999999999994</c:v>
                </c:pt>
                <c:pt idx="4">
                  <c:v>0.39850000000000002</c:v>
                </c:pt>
                <c:pt idx="5">
                  <c:v>0.21299999999999997</c:v>
                </c:pt>
                <c:pt idx="6">
                  <c:v>0.14150000000000001</c:v>
                </c:pt>
                <c:pt idx="7">
                  <c:v>7.6999999999999999E-2</c:v>
                </c:pt>
                <c:pt idx="8">
                  <c:v>2.6000000000000002E-2</c:v>
                </c:pt>
                <c:pt idx="9">
                  <c:v>2.0999999999999998E-2</c:v>
                </c:pt>
                <c:pt idx="10">
                  <c:v>1.9249999999999996E-2</c:v>
                </c:pt>
              </c:numCache>
            </c:numRef>
          </c:xVal>
          <c:yVal>
            <c:numRef>
              <c:f>courbe_etalon!$B$3:$B$13</c:f>
              <c:numCache>
                <c:formatCode>General</c:formatCode>
                <c:ptCount val="11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6.25</c:v>
                </c:pt>
                <c:pt idx="4">
                  <c:v>3.125</c:v>
                </c:pt>
                <c:pt idx="5">
                  <c:v>1.5625</c:v>
                </c:pt>
                <c:pt idx="6">
                  <c:v>0.78125</c:v>
                </c:pt>
                <c:pt idx="7">
                  <c:v>0.390625</c:v>
                </c:pt>
                <c:pt idx="8">
                  <c:v>0.1953125</c:v>
                </c:pt>
                <c:pt idx="9">
                  <c:v>9.765625E-2</c:v>
                </c:pt>
                <c:pt idx="10">
                  <c:v>4.8828125E-2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A7-46F5-8539-D8E2C6EA2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389967"/>
        <c:axId val="760378319"/>
      </c:scatterChart>
      <c:valAx>
        <c:axId val="760389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60378319"/>
        <c:crosses val="autoZero"/>
        <c:crossBetween val="midCat"/>
      </c:valAx>
      <c:valAx>
        <c:axId val="76037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60389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quantification!$C$29</c:f>
              <c:strCache>
                <c:ptCount val="1"/>
                <c:pt idx="0">
                  <c:v>ng.µL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quantification!$B$30:$B$53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</c:numCache>
            </c:numRef>
          </c:xVal>
          <c:yVal>
            <c:numRef>
              <c:f>quantification!$C$30:$C$53</c:f>
              <c:numCache>
                <c:formatCode>General</c:formatCode>
                <c:ptCount val="24"/>
                <c:pt idx="0">
                  <c:v>1.0508714094328604</c:v>
                </c:pt>
                <c:pt idx="1">
                  <c:v>1.0017406135057982</c:v>
                </c:pt>
                <c:pt idx="2">
                  <c:v>0.70393759777779796</c:v>
                </c:pt>
                <c:pt idx="3">
                  <c:v>0.67611905633581271</c:v>
                </c:pt>
                <c:pt idx="4">
                  <c:v>0.81884246318638787</c:v>
                </c:pt>
                <c:pt idx="5">
                  <c:v>0.20528380014606459</c:v>
                </c:pt>
                <c:pt idx="6">
                  <c:v>0.68469216701892877</c:v>
                </c:pt>
                <c:pt idx="7">
                  <c:v>0.20068030364775374</c:v>
                </c:pt>
                <c:pt idx="8">
                  <c:v>0.75104790384572018</c:v>
                </c:pt>
                <c:pt idx="9">
                  <c:v>1.2717591813546125</c:v>
                </c:pt>
                <c:pt idx="10">
                  <c:v>0.70519094008448036</c:v>
                </c:pt>
                <c:pt idx="11">
                  <c:v>0.64728550339789737</c:v>
                </c:pt>
                <c:pt idx="12">
                  <c:v>0.67732286846395429</c:v>
                </c:pt>
                <c:pt idx="13">
                  <c:v>0.28608720296237544</c:v>
                </c:pt>
                <c:pt idx="14">
                  <c:v>0.95660698820753776</c:v>
                </c:pt>
                <c:pt idx="15">
                  <c:v>0.13298103664974192</c:v>
                </c:pt>
                <c:pt idx="16">
                  <c:v>1.7837260965774968</c:v>
                </c:pt>
                <c:pt idx="17">
                  <c:v>1.6663966307045297</c:v>
                </c:pt>
                <c:pt idx="18">
                  <c:v>0.99909723013725682</c:v>
                </c:pt>
                <c:pt idx="19">
                  <c:v>0.59450268630173753</c:v>
                </c:pt>
                <c:pt idx="20">
                  <c:v>0.83121598268246855</c:v>
                </c:pt>
                <c:pt idx="21">
                  <c:v>0.46207254445149715</c:v>
                </c:pt>
                <c:pt idx="22">
                  <c:v>1.6622025424892233</c:v>
                </c:pt>
                <c:pt idx="23">
                  <c:v>1.085735809299341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7B-476E-BE55-8B14775ED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954719"/>
        <c:axId val="497943487"/>
      </c:scatterChart>
      <c:valAx>
        <c:axId val="497954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7943487"/>
        <c:crosses val="autoZero"/>
        <c:crossBetween val="midCat"/>
      </c:valAx>
      <c:valAx>
        <c:axId val="49794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7954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quantification!$C$29</c:f>
              <c:strCache>
                <c:ptCount val="1"/>
                <c:pt idx="0">
                  <c:v>ng.µL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quantification!$B$30:$B$53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</c:numCache>
            </c:numRef>
          </c:xVal>
          <c:yVal>
            <c:numRef>
              <c:f>quantification!$C$30:$C$53</c:f>
              <c:numCache>
                <c:formatCode>General</c:formatCode>
                <c:ptCount val="24"/>
                <c:pt idx="0">
                  <c:v>1.0508714094328604</c:v>
                </c:pt>
                <c:pt idx="1">
                  <c:v>1.0017406135057982</c:v>
                </c:pt>
                <c:pt idx="2">
                  <c:v>0.70393759777779796</c:v>
                </c:pt>
                <c:pt idx="3">
                  <c:v>0.67611905633581271</c:v>
                </c:pt>
                <c:pt idx="4">
                  <c:v>0.81884246318638787</c:v>
                </c:pt>
                <c:pt idx="5">
                  <c:v>0.20528380014606459</c:v>
                </c:pt>
                <c:pt idx="6">
                  <c:v>0.68469216701892877</c:v>
                </c:pt>
                <c:pt idx="7">
                  <c:v>0.20068030364775374</c:v>
                </c:pt>
                <c:pt idx="8">
                  <c:v>0.75104790384572018</c:v>
                </c:pt>
                <c:pt idx="9">
                  <c:v>1.2717591813546125</c:v>
                </c:pt>
                <c:pt idx="10">
                  <c:v>0.70519094008448036</c:v>
                </c:pt>
                <c:pt idx="11">
                  <c:v>0.64728550339789737</c:v>
                </c:pt>
                <c:pt idx="12">
                  <c:v>0.67732286846395429</c:v>
                </c:pt>
                <c:pt idx="13">
                  <c:v>0.28608720296237544</c:v>
                </c:pt>
                <c:pt idx="14">
                  <c:v>0.95660698820753776</c:v>
                </c:pt>
                <c:pt idx="15">
                  <c:v>0.13298103664974192</c:v>
                </c:pt>
                <c:pt idx="16">
                  <c:v>1.7837260965774968</c:v>
                </c:pt>
                <c:pt idx="17">
                  <c:v>1.6663966307045297</c:v>
                </c:pt>
                <c:pt idx="18">
                  <c:v>0.99909723013725682</c:v>
                </c:pt>
                <c:pt idx="19">
                  <c:v>0.59450268630173753</c:v>
                </c:pt>
                <c:pt idx="20">
                  <c:v>0.83121598268246855</c:v>
                </c:pt>
                <c:pt idx="21">
                  <c:v>0.46207254445149715</c:v>
                </c:pt>
                <c:pt idx="22">
                  <c:v>1.6622025424892233</c:v>
                </c:pt>
                <c:pt idx="23">
                  <c:v>1.085735809299341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42-4C4A-8252-0E0FA00EF0BF}"/>
            </c:ext>
          </c:extLst>
        </c:ser>
        <c:ser>
          <c:idx val="1"/>
          <c:order val="1"/>
          <c:tx>
            <c:strRef>
              <c:f>quantification!$D$29</c:f>
              <c:strCache>
                <c:ptCount val="1"/>
                <c:pt idx="0">
                  <c:v>moyenne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quantification!$B$30:$B$53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</c:numCache>
            </c:numRef>
          </c:xVal>
          <c:yVal>
            <c:numRef>
              <c:f>quantification!$D$30:$D$53</c:f>
              <c:numCache>
                <c:formatCode>General</c:formatCode>
                <c:ptCount val="24"/>
                <c:pt idx="0">
                  <c:v>0.66777092638142543</c:v>
                </c:pt>
                <c:pt idx="8">
                  <c:v>0.67853520312078996</c:v>
                </c:pt>
                <c:pt idx="16">
                  <c:v>1.1356186903304439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42-4C4A-8252-0E0FA00EF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117167"/>
        <c:axId val="487122575"/>
      </c:scatterChart>
      <c:valAx>
        <c:axId val="487117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7122575"/>
        <c:crosses val="autoZero"/>
        <c:crossBetween val="midCat"/>
      </c:valAx>
      <c:valAx>
        <c:axId val="48712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7117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quantification!$A$71:$C$71</c:f>
              <c:strCache>
                <c:ptCount val="3"/>
                <c:pt idx="0">
                  <c:v>abs_moyenne1</c:v>
                </c:pt>
                <c:pt idx="1">
                  <c:v>abs_moyenne2</c:v>
                </c:pt>
                <c:pt idx="2">
                  <c:v>abs_moyenne3</c:v>
                </c:pt>
              </c:strCache>
            </c:strRef>
          </c:cat>
          <c:val>
            <c:numRef>
              <c:f>quantification!$A$72:$C$72</c:f>
              <c:numCache>
                <c:formatCode>General</c:formatCode>
                <c:ptCount val="3"/>
                <c:pt idx="0">
                  <c:v>0.70466666666666666</c:v>
                </c:pt>
                <c:pt idx="1">
                  <c:v>0.59266666666666667</c:v>
                </c:pt>
                <c:pt idx="2">
                  <c:v>0.6293333333333333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D6-4D6A-BDA5-34EFC2B0B40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quantification!$A$71:$C$71</c:f>
              <c:strCache>
                <c:ptCount val="3"/>
                <c:pt idx="0">
                  <c:v>abs_moyenne1</c:v>
                </c:pt>
                <c:pt idx="1">
                  <c:v>abs_moyenne2</c:v>
                </c:pt>
                <c:pt idx="2">
                  <c:v>abs_moyenne3</c:v>
                </c:pt>
              </c:strCache>
            </c:strRef>
          </c:cat>
          <c:val>
            <c:numRef>
              <c:f>quantification!$A$73:$C$73</c:f>
              <c:numCache>
                <c:formatCode>General</c:formatCode>
                <c:ptCount val="3"/>
                <c:pt idx="0">
                  <c:v>0.69833333333333325</c:v>
                </c:pt>
                <c:pt idx="1">
                  <c:v>0.66233333333333333</c:v>
                </c:pt>
                <c:pt idx="2">
                  <c:v>0.62033333333333329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D6-4D6A-BDA5-34EFC2B0B40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quantification!$A$71:$C$71</c:f>
              <c:strCache>
                <c:ptCount val="3"/>
                <c:pt idx="0">
                  <c:v>abs_moyenne1</c:v>
                </c:pt>
                <c:pt idx="1">
                  <c:v>abs_moyenne2</c:v>
                </c:pt>
                <c:pt idx="2">
                  <c:v>abs_moyenne3</c:v>
                </c:pt>
              </c:strCache>
            </c:strRef>
          </c:cat>
          <c:val>
            <c:numRef>
              <c:f>quantification!$A$74:$C$74</c:f>
              <c:numCache>
                <c:formatCode>General</c:formatCode>
                <c:ptCount val="3"/>
                <c:pt idx="0">
                  <c:v>0.65166666666666662</c:v>
                </c:pt>
                <c:pt idx="1">
                  <c:v>0.58433333333333326</c:v>
                </c:pt>
                <c:pt idx="2">
                  <c:v>0.55266666666666664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D6-4D6A-BDA5-34EFC2B0B40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quantification!$A$71:$C$71</c:f>
              <c:strCache>
                <c:ptCount val="3"/>
                <c:pt idx="0">
                  <c:v>abs_moyenne1</c:v>
                </c:pt>
                <c:pt idx="1">
                  <c:v>abs_moyenne2</c:v>
                </c:pt>
                <c:pt idx="2">
                  <c:v>abs_moyenne3</c:v>
                </c:pt>
              </c:strCache>
            </c:strRef>
          </c:cat>
          <c:val>
            <c:numRef>
              <c:f>quantification!$A$75:$C$75</c:f>
              <c:numCache>
                <c:formatCode>General</c:formatCode>
                <c:ptCount val="3"/>
                <c:pt idx="0">
                  <c:v>0.6463333333333332</c:v>
                </c:pt>
                <c:pt idx="1">
                  <c:v>0.57299999999999995</c:v>
                </c:pt>
                <c:pt idx="2">
                  <c:v>0.48399999999999999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D6-4D6A-BDA5-34EFC2B0B40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quantification!$A$71:$C$71</c:f>
              <c:strCache>
                <c:ptCount val="3"/>
                <c:pt idx="0">
                  <c:v>abs_moyenne1</c:v>
                </c:pt>
                <c:pt idx="1">
                  <c:v>abs_moyenne2</c:v>
                </c:pt>
                <c:pt idx="2">
                  <c:v>abs_moyenne3</c:v>
                </c:pt>
              </c:strCache>
            </c:strRef>
          </c:cat>
          <c:val>
            <c:numRef>
              <c:f>quantification!$A$76:$C$76</c:f>
              <c:numCache>
                <c:formatCode>General</c:formatCode>
                <c:ptCount val="3"/>
                <c:pt idx="0">
                  <c:v>0.67166666666666652</c:v>
                </c:pt>
                <c:pt idx="1">
                  <c:v>0.57899999999999996</c:v>
                </c:pt>
                <c:pt idx="2">
                  <c:v>0.52833333333333332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ED6-4D6A-BDA5-34EFC2B0B402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quantification!$A$71:$C$71</c:f>
              <c:strCache>
                <c:ptCount val="3"/>
                <c:pt idx="0">
                  <c:v>abs_moyenne1</c:v>
                </c:pt>
                <c:pt idx="1">
                  <c:v>abs_moyenne2</c:v>
                </c:pt>
                <c:pt idx="2">
                  <c:v>abs_moyenne3</c:v>
                </c:pt>
              </c:strCache>
            </c:strRef>
          </c:cat>
          <c:val>
            <c:numRef>
              <c:f>quantification!$A$77:$C$77</c:f>
              <c:numCache>
                <c:formatCode>General</c:formatCode>
                <c:ptCount val="3"/>
                <c:pt idx="0">
                  <c:v>0.48866666666666675</c:v>
                </c:pt>
                <c:pt idx="1">
                  <c:v>0.46500000000000002</c:v>
                </c:pt>
                <c:pt idx="2">
                  <c:v>0.45066666666666672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ED6-4D6A-BDA5-34EFC2B0B402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quantification!$A$71:$C$71</c:f>
              <c:strCache>
                <c:ptCount val="3"/>
                <c:pt idx="0">
                  <c:v>abs_moyenne1</c:v>
                </c:pt>
                <c:pt idx="1">
                  <c:v>abs_moyenne2</c:v>
                </c:pt>
                <c:pt idx="2">
                  <c:v>abs_moyenne3</c:v>
                </c:pt>
              </c:strCache>
            </c:strRef>
          </c:cat>
          <c:val>
            <c:numRef>
              <c:f>quantification!$A$78:$C$78</c:f>
              <c:numCache>
                <c:formatCode>General</c:formatCode>
                <c:ptCount val="3"/>
                <c:pt idx="0">
                  <c:v>0.64800000000000002</c:v>
                </c:pt>
                <c:pt idx="1">
                  <c:v>0.62466666666666659</c:v>
                </c:pt>
                <c:pt idx="2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ED6-4D6A-BDA5-34EFC2B0B402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quantification!$A$71:$C$71</c:f>
              <c:strCache>
                <c:ptCount val="3"/>
                <c:pt idx="0">
                  <c:v>abs_moyenne1</c:v>
                </c:pt>
                <c:pt idx="1">
                  <c:v>abs_moyenne2</c:v>
                </c:pt>
                <c:pt idx="2">
                  <c:v>abs_moyenne3</c:v>
                </c:pt>
              </c:strCache>
            </c:strRef>
          </c:cat>
          <c:val>
            <c:numRef>
              <c:f>quantification!$A$79:$C$79</c:f>
              <c:numCache>
                <c:formatCode>General</c:formatCode>
                <c:ptCount val="3"/>
                <c:pt idx="0">
                  <c:v>0.48566666666666669</c:v>
                </c:pt>
                <c:pt idx="1">
                  <c:v>0.36366666666666664</c:v>
                </c:pt>
                <c:pt idx="2">
                  <c:v>0.56366666666666665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ED6-4D6A-BDA5-34EFC2B0B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199360"/>
        <c:axId val="725187296"/>
      </c:lineChart>
      <c:catAx>
        <c:axId val="72519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5187296"/>
        <c:crosses val="autoZero"/>
        <c:auto val="1"/>
        <c:lblAlgn val="ctr"/>
        <c:lblOffset val="100"/>
        <c:noMultiLvlLbl val="0"/>
      </c:catAx>
      <c:valAx>
        <c:axId val="72518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519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quantification!$A$88:$C$88</c:f>
              <c:strCache>
                <c:ptCount val="3"/>
                <c:pt idx="0">
                  <c:v>quantif_ng.mL-1_1</c:v>
                </c:pt>
                <c:pt idx="1">
                  <c:v>quantif_ng.mL-1_2</c:v>
                </c:pt>
                <c:pt idx="2">
                  <c:v>quantif_ng.mL-1_3</c:v>
                </c:pt>
              </c:strCache>
            </c:strRef>
          </c:cat>
          <c:val>
            <c:numRef>
              <c:f>quantification!$A$89:$C$89</c:f>
              <c:numCache>
                <c:formatCode>0.00000000</c:formatCode>
                <c:ptCount val="3"/>
                <c:pt idx="0">
                  <c:v>28.660129348168926</c:v>
                </c:pt>
                <c:pt idx="1">
                  <c:v>12.289874790202694</c:v>
                </c:pt>
                <c:pt idx="2">
                  <c:v>16.215691787068153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53-41EB-9581-CC81069C2A6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quantification!$A$88:$C$88</c:f>
              <c:strCache>
                <c:ptCount val="3"/>
                <c:pt idx="0">
                  <c:v>quantif_ng.mL-1_1</c:v>
                </c:pt>
                <c:pt idx="1">
                  <c:v>quantif_ng.mL-1_2</c:v>
                </c:pt>
                <c:pt idx="2">
                  <c:v>quantif_ng.mL-1_3</c:v>
                </c:pt>
              </c:strCache>
            </c:strRef>
          </c:cat>
          <c:val>
            <c:numRef>
              <c:f>quantification!$A$90:$C$90</c:f>
              <c:numCache>
                <c:formatCode>0.00000000</c:formatCode>
                <c:ptCount val="3"/>
                <c:pt idx="0">
                  <c:v>27.320198550158132</c:v>
                </c:pt>
                <c:pt idx="1">
                  <c:v>20.810604785802749</c:v>
                </c:pt>
                <c:pt idx="2">
                  <c:v>15.149060279132089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53-41EB-9581-CC81069C2A6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quantification!$A$88:$C$88</c:f>
              <c:strCache>
                <c:ptCount val="3"/>
                <c:pt idx="0">
                  <c:v>quantif_ng.mL-1_1</c:v>
                </c:pt>
                <c:pt idx="1">
                  <c:v>quantif_ng.mL-1_2</c:v>
                </c:pt>
                <c:pt idx="2">
                  <c:v>quantif_ng.mL-1_3</c:v>
                </c:pt>
              </c:strCache>
            </c:strRef>
          </c:cat>
          <c:val>
            <c:numRef>
              <c:f>quantification!$A$91:$C$91</c:f>
              <c:numCache>
                <c:formatCode>0.00000000</c:formatCode>
                <c:ptCount val="3"/>
                <c:pt idx="0">
                  <c:v>19.198298121212673</c:v>
                </c:pt>
                <c:pt idx="1">
                  <c:v>11.539488110473313</c:v>
                </c:pt>
                <c:pt idx="2">
                  <c:v>9.0827020921568806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53-41EB-9581-CC81069C2A6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quantification!$A$88:$C$88</c:f>
              <c:strCache>
                <c:ptCount val="3"/>
                <c:pt idx="0">
                  <c:v>quantif_ng.mL-1_1</c:v>
                </c:pt>
                <c:pt idx="1">
                  <c:v>quantif_ng.mL-1_2</c:v>
                </c:pt>
                <c:pt idx="2">
                  <c:v>quantif_ng.mL-1_3</c:v>
                </c:pt>
              </c:strCache>
            </c:strRef>
          </c:cat>
          <c:val>
            <c:numRef>
              <c:f>quantification!$A$92:$C$92</c:f>
              <c:numCache>
                <c:formatCode>0.00000000</c:formatCode>
                <c:ptCount val="3"/>
                <c:pt idx="0">
                  <c:v>18.439610627340347</c:v>
                </c:pt>
                <c:pt idx="1">
                  <c:v>10.591944601056502</c:v>
                </c:pt>
                <c:pt idx="2">
                  <c:v>5.4045698754703411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53-41EB-9581-CC81069C2A6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quantification!$A$88:$C$88</c:f>
              <c:strCache>
                <c:ptCount val="3"/>
                <c:pt idx="0">
                  <c:v>quantif_ng.mL-1_1</c:v>
                </c:pt>
                <c:pt idx="1">
                  <c:v>quantif_ng.mL-1_2</c:v>
                </c:pt>
                <c:pt idx="2">
                  <c:v>quantif_ng.mL-1_3</c:v>
                </c:pt>
              </c:strCache>
            </c:strRef>
          </c:cat>
          <c:val>
            <c:numRef>
              <c:f>quantification!$A$93:$C$93</c:f>
              <c:numCache>
                <c:formatCode>0.00000000</c:formatCode>
                <c:ptCount val="3"/>
                <c:pt idx="0">
                  <c:v>22.332067177810579</c:v>
                </c:pt>
                <c:pt idx="1">
                  <c:v>11.08346512031925</c:v>
                </c:pt>
                <c:pt idx="2">
                  <c:v>7.5565089334769864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A53-41EB-9581-CC81069C2A6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quantification!$A$88:$C$88</c:f>
              <c:strCache>
                <c:ptCount val="3"/>
                <c:pt idx="0">
                  <c:v>quantif_ng.mL-1_1</c:v>
                </c:pt>
                <c:pt idx="1">
                  <c:v>quantif_ng.mL-1_2</c:v>
                </c:pt>
                <c:pt idx="2">
                  <c:v>quantif_ng.mL-1_3</c:v>
                </c:pt>
              </c:strCache>
            </c:strRef>
          </c:cat>
          <c:val>
            <c:numRef>
              <c:f>quantification!$A$94:$C$94</c:f>
              <c:numCache>
                <c:formatCode>0.00000000</c:formatCode>
                <c:ptCount val="3"/>
                <c:pt idx="0">
                  <c:v>5.5986490948926715</c:v>
                </c:pt>
                <c:pt idx="1">
                  <c:v>4.6814269575661438</c:v>
                </c:pt>
                <c:pt idx="2">
                  <c:v>4.2006594950136105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A53-41EB-9581-CC81069C2A66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quantification!$A$88:$C$88</c:f>
              <c:strCache>
                <c:ptCount val="3"/>
                <c:pt idx="0">
                  <c:v>quantif_ng.mL-1_1</c:v>
                </c:pt>
                <c:pt idx="1">
                  <c:v>quantif_ng.mL-1_2</c:v>
                </c:pt>
                <c:pt idx="2">
                  <c:v>quantif_ng.mL-1_3</c:v>
                </c:pt>
              </c:strCache>
            </c:strRef>
          </c:cat>
          <c:val>
            <c:numRef>
              <c:f>quantification!$A$95:$C$95</c:f>
              <c:numCache>
                <c:formatCode>0.00000000</c:formatCode>
                <c:ptCount val="3"/>
                <c:pt idx="0">
                  <c:v>18.673422736879878</c:v>
                </c:pt>
                <c:pt idx="1">
                  <c:v>15.653568897941526</c:v>
                </c:pt>
                <c:pt idx="2">
                  <c:v>15.110932204447485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A53-41EB-9581-CC81069C2A66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quantification!$A$88:$C$88</c:f>
              <c:strCache>
                <c:ptCount val="3"/>
                <c:pt idx="0">
                  <c:v>quantif_ng.mL-1_1</c:v>
                </c:pt>
                <c:pt idx="1">
                  <c:v>quantif_ng.mL-1_2</c:v>
                </c:pt>
                <c:pt idx="2">
                  <c:v>quantif_ng.mL-1_3</c:v>
                </c:pt>
              </c:strCache>
            </c:strRef>
          </c:cat>
          <c:val>
            <c:numRef>
              <c:f>quantification!$A$96:$C$96</c:f>
              <c:numCache>
                <c:formatCode>0.00000000</c:formatCode>
                <c:ptCount val="3"/>
                <c:pt idx="0">
                  <c:v>5.4730991903932837</c:v>
                </c:pt>
                <c:pt idx="1">
                  <c:v>2.1760533269957767</c:v>
                </c:pt>
                <c:pt idx="2">
                  <c:v>9.8703255390849183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A53-41EB-9581-CC81069C2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7346352"/>
        <c:axId val="907331376"/>
      </c:lineChart>
      <c:catAx>
        <c:axId val="90734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7331376"/>
        <c:crosses val="autoZero"/>
        <c:auto val="1"/>
        <c:lblAlgn val="ctr"/>
        <c:lblOffset val="100"/>
        <c:noMultiLvlLbl val="0"/>
      </c:catAx>
      <c:valAx>
        <c:axId val="90733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734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269875</xdr:colOff>
      <xdr:row>2</xdr:row>
      <xdr:rowOff>0</xdr:rowOff>
    </xdr:from>
    <xdr:to>
      <xdr:col>13</xdr:col>
      <xdr:colOff>269875</xdr:colOff>
      <xdr:row>16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493058</xdr:colOff>
      <xdr:row>31</xdr:row>
      <xdr:rowOff>124384</xdr:rowOff>
    </xdr:from>
    <xdr:to>
      <xdr:col>9</xdr:col>
      <xdr:colOff>56029</xdr:colOff>
      <xdr:row>46</xdr:row>
      <xdr:rowOff>10084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437030</xdr:colOff>
      <xdr:row>47</xdr:row>
      <xdr:rowOff>1120</xdr:rowOff>
    </xdr:from>
    <xdr:to>
      <xdr:col>9</xdr:col>
      <xdr:colOff>1</xdr:colOff>
      <xdr:row>61</xdr:row>
      <xdr:rowOff>77320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347383</xdr:colOff>
      <xdr:row>68</xdr:row>
      <xdr:rowOff>12325</xdr:rowOff>
    </xdr:from>
    <xdr:to>
      <xdr:col>7</xdr:col>
      <xdr:colOff>1019736</xdr:colOff>
      <xdr:row>82</xdr:row>
      <xdr:rowOff>88525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336176</xdr:colOff>
      <xdr:row>85</xdr:row>
      <xdr:rowOff>169208</xdr:rowOff>
    </xdr:from>
    <xdr:to>
      <xdr:col>7</xdr:col>
      <xdr:colOff>1008529</xdr:colOff>
      <xdr:row>100</xdr:row>
      <xdr:rowOff>54908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opLeftCell="A2" zoomScale="54" zoomScaleNormal="85" workbookViewId="0">
      <selection activeCell="A12" sqref="A12"/>
    </sheetView>
  </sheetViews>
  <sheetFormatPr baseColWidth="10" defaultRowHeight="15" x14ac:dyDescent="0.25"/>
  <cols>
    <col min="1" max="22" width="16.7109375" customWidth="1"/>
  </cols>
  <sheetData>
    <row r="1" spans="1:13" ht="15.75" x14ac:dyDescent="0.25">
      <c r="A1" s="60" t="s">
        <v>51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3" spans="1:13" x14ac:dyDescent="0.25">
      <c r="A3" s="15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5"/>
      <c r="B4" s="8">
        <v>1</v>
      </c>
      <c r="C4" s="8">
        <v>2</v>
      </c>
      <c r="D4" s="8">
        <v>3</v>
      </c>
      <c r="E4" s="40">
        <v>4</v>
      </c>
      <c r="F4" s="40">
        <v>5</v>
      </c>
      <c r="G4" s="40">
        <v>6</v>
      </c>
      <c r="H4" s="7">
        <v>7</v>
      </c>
      <c r="I4" s="7">
        <v>8</v>
      </c>
      <c r="J4" s="7">
        <v>9</v>
      </c>
      <c r="K4" s="9">
        <v>10</v>
      </c>
      <c r="L4" s="9">
        <v>11</v>
      </c>
      <c r="M4" s="9">
        <v>12</v>
      </c>
    </row>
    <row r="5" spans="1:13" x14ac:dyDescent="0.25">
      <c r="A5" s="5" t="s">
        <v>0</v>
      </c>
      <c r="B5" s="8" t="s">
        <v>56</v>
      </c>
      <c r="C5" s="8" t="s">
        <v>56</v>
      </c>
      <c r="D5" s="8" t="s">
        <v>56</v>
      </c>
      <c r="E5" s="40" t="s">
        <v>56</v>
      </c>
      <c r="F5" s="40" t="s">
        <v>56</v>
      </c>
      <c r="G5" s="40" t="s">
        <v>56</v>
      </c>
      <c r="H5" s="7" t="s">
        <v>56</v>
      </c>
      <c r="I5" s="7" t="s">
        <v>56</v>
      </c>
      <c r="J5" s="7" t="s">
        <v>56</v>
      </c>
      <c r="K5" s="9" t="s">
        <v>36</v>
      </c>
      <c r="L5" s="9" t="s">
        <v>55</v>
      </c>
      <c r="M5" s="9" t="s">
        <v>52</v>
      </c>
    </row>
    <row r="6" spans="1:13" x14ac:dyDescent="0.25">
      <c r="A6" s="5" t="s">
        <v>1</v>
      </c>
      <c r="B6" s="8" t="s">
        <v>57</v>
      </c>
      <c r="C6" s="8" t="s">
        <v>57</v>
      </c>
      <c r="D6" s="8" t="s">
        <v>57</v>
      </c>
      <c r="E6" s="40" t="s">
        <v>57</v>
      </c>
      <c r="F6" s="40" t="s">
        <v>57</v>
      </c>
      <c r="G6" s="40" t="s">
        <v>57</v>
      </c>
      <c r="H6" s="7" t="s">
        <v>57</v>
      </c>
      <c r="I6" s="7" t="s">
        <v>57</v>
      </c>
      <c r="J6" s="7" t="s">
        <v>57</v>
      </c>
      <c r="K6" s="9" t="s">
        <v>37</v>
      </c>
      <c r="L6" s="9" t="s">
        <v>29</v>
      </c>
      <c r="M6" s="9" t="s">
        <v>39</v>
      </c>
    </row>
    <row r="7" spans="1:13" x14ac:dyDescent="0.25">
      <c r="A7" s="5" t="s">
        <v>2</v>
      </c>
      <c r="B7" s="8" t="s">
        <v>58</v>
      </c>
      <c r="C7" s="8" t="s">
        <v>58</v>
      </c>
      <c r="D7" s="8" t="s">
        <v>58</v>
      </c>
      <c r="E7" s="40" t="s">
        <v>58</v>
      </c>
      <c r="F7" s="40" t="s">
        <v>58</v>
      </c>
      <c r="G7" s="40" t="s">
        <v>58</v>
      </c>
      <c r="H7" s="7" t="s">
        <v>58</v>
      </c>
      <c r="I7" s="7" t="s">
        <v>58</v>
      </c>
      <c r="J7" s="7" t="s">
        <v>58</v>
      </c>
      <c r="K7" s="9" t="s">
        <v>38</v>
      </c>
      <c r="L7" s="9" t="s">
        <v>30</v>
      </c>
      <c r="M7" s="9" t="s">
        <v>40</v>
      </c>
    </row>
    <row r="8" spans="1:13" x14ac:dyDescent="0.25">
      <c r="A8" s="5" t="s">
        <v>3</v>
      </c>
      <c r="B8" s="8" t="s">
        <v>59</v>
      </c>
      <c r="C8" s="8" t="s">
        <v>59</v>
      </c>
      <c r="D8" s="8" t="s">
        <v>59</v>
      </c>
      <c r="E8" s="40" t="s">
        <v>59</v>
      </c>
      <c r="F8" s="40" t="s">
        <v>59</v>
      </c>
      <c r="G8" s="40" t="s">
        <v>59</v>
      </c>
      <c r="H8" s="7" t="s">
        <v>59</v>
      </c>
      <c r="I8" s="7" t="s">
        <v>59</v>
      </c>
      <c r="J8" s="7" t="s">
        <v>59</v>
      </c>
      <c r="K8" s="9" t="s">
        <v>53</v>
      </c>
      <c r="L8" s="9" t="s">
        <v>31</v>
      </c>
      <c r="M8" s="9" t="s">
        <v>42</v>
      </c>
    </row>
    <row r="9" spans="1:13" x14ac:dyDescent="0.25">
      <c r="A9" s="5" t="s">
        <v>4</v>
      </c>
      <c r="B9" s="8" t="s">
        <v>60</v>
      </c>
      <c r="C9" s="8" t="s">
        <v>60</v>
      </c>
      <c r="D9" s="8" t="s">
        <v>60</v>
      </c>
      <c r="E9" s="40" t="s">
        <v>60</v>
      </c>
      <c r="F9" s="40" t="s">
        <v>60</v>
      </c>
      <c r="G9" s="40" t="s">
        <v>60</v>
      </c>
      <c r="H9" s="7" t="s">
        <v>60</v>
      </c>
      <c r="I9" s="7" t="s">
        <v>60</v>
      </c>
      <c r="J9" s="7" t="s">
        <v>60</v>
      </c>
      <c r="K9" s="9" t="s">
        <v>41</v>
      </c>
      <c r="L9" s="9" t="s">
        <v>32</v>
      </c>
      <c r="M9" s="9" t="s">
        <v>44</v>
      </c>
    </row>
    <row r="10" spans="1:13" x14ac:dyDescent="0.25">
      <c r="A10" s="5" t="s">
        <v>5</v>
      </c>
      <c r="B10" s="8" t="s">
        <v>61</v>
      </c>
      <c r="C10" s="8" t="s">
        <v>61</v>
      </c>
      <c r="D10" s="8" t="s">
        <v>61</v>
      </c>
      <c r="E10" s="40" t="s">
        <v>61</v>
      </c>
      <c r="F10" s="40" t="s">
        <v>61</v>
      </c>
      <c r="G10" s="40" t="s">
        <v>61</v>
      </c>
      <c r="H10" s="7" t="s">
        <v>61</v>
      </c>
      <c r="I10" s="7" t="s">
        <v>61</v>
      </c>
      <c r="J10" s="7" t="s">
        <v>61</v>
      </c>
      <c r="K10" s="9" t="s">
        <v>43</v>
      </c>
      <c r="L10" s="9" t="s">
        <v>33</v>
      </c>
      <c r="M10" s="9" t="s">
        <v>45</v>
      </c>
    </row>
    <row r="11" spans="1:13" x14ac:dyDescent="0.25">
      <c r="A11" s="5" t="s">
        <v>6</v>
      </c>
      <c r="B11" s="8" t="s">
        <v>62</v>
      </c>
      <c r="C11" s="8" t="s">
        <v>62</v>
      </c>
      <c r="D11" s="8" t="s">
        <v>62</v>
      </c>
      <c r="E11" s="40" t="s">
        <v>62</v>
      </c>
      <c r="F11" s="40" t="s">
        <v>62</v>
      </c>
      <c r="G11" s="40" t="s">
        <v>62</v>
      </c>
      <c r="H11" s="7" t="s">
        <v>62</v>
      </c>
      <c r="I11" s="7" t="s">
        <v>62</v>
      </c>
      <c r="J11" s="7" t="s">
        <v>62</v>
      </c>
      <c r="K11" s="19" t="s">
        <v>28</v>
      </c>
      <c r="L11" s="9" t="s">
        <v>34</v>
      </c>
      <c r="M11" s="9" t="s">
        <v>46</v>
      </c>
    </row>
    <row r="12" spans="1:13" x14ac:dyDescent="0.25">
      <c r="A12" s="5" t="s">
        <v>7</v>
      </c>
      <c r="B12" s="8" t="s">
        <v>63</v>
      </c>
      <c r="C12" s="8" t="s">
        <v>63</v>
      </c>
      <c r="D12" s="8" t="s">
        <v>63</v>
      </c>
      <c r="E12" s="40" t="s">
        <v>63</v>
      </c>
      <c r="F12" s="40" t="s">
        <v>63</v>
      </c>
      <c r="G12" s="40" t="s">
        <v>63</v>
      </c>
      <c r="H12" s="7" t="s">
        <v>63</v>
      </c>
      <c r="I12" s="7" t="s">
        <v>63</v>
      </c>
      <c r="J12" s="7" t="s">
        <v>63</v>
      </c>
      <c r="K12" s="19" t="s">
        <v>28</v>
      </c>
      <c r="L12" s="9" t="s">
        <v>35</v>
      </c>
      <c r="M12" s="9" t="s">
        <v>54</v>
      </c>
    </row>
    <row r="13" spans="1:13" x14ac:dyDescent="0.25">
      <c r="A13" s="1"/>
      <c r="B13" s="26"/>
      <c r="E13" s="26"/>
      <c r="H13" s="26"/>
    </row>
    <row r="14" spans="1:13" x14ac:dyDescent="0.25">
      <c r="A14" s="1"/>
    </row>
    <row r="15" spans="1:13" x14ac:dyDescent="0.25">
      <c r="A15" s="14" t="s">
        <v>8</v>
      </c>
      <c r="B15" s="3"/>
      <c r="C15" s="3"/>
      <c r="D15" s="3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5">
      <c r="A16" s="5"/>
      <c r="B16" s="8">
        <v>1</v>
      </c>
      <c r="C16" s="8">
        <v>2</v>
      </c>
      <c r="D16" s="8">
        <v>3</v>
      </c>
      <c r="E16" s="40">
        <v>4</v>
      </c>
      <c r="F16" s="40">
        <v>5</v>
      </c>
      <c r="G16" s="40">
        <v>6</v>
      </c>
      <c r="H16" s="7">
        <v>7</v>
      </c>
      <c r="I16" s="7">
        <v>8</v>
      </c>
      <c r="J16" s="7">
        <v>9</v>
      </c>
      <c r="K16" s="9">
        <v>10</v>
      </c>
      <c r="L16" s="9">
        <v>11</v>
      </c>
      <c r="M16" s="9">
        <v>12</v>
      </c>
    </row>
    <row r="17" spans="1:13" x14ac:dyDescent="0.25">
      <c r="A17" s="5" t="s">
        <v>0</v>
      </c>
      <c r="B17" s="44">
        <v>0.88700000000000001</v>
      </c>
      <c r="C17" s="44">
        <v>0.70599999999999996</v>
      </c>
      <c r="D17" s="44">
        <v>0.71199999999999997</v>
      </c>
      <c r="E17" s="43">
        <v>0.61299999999999999</v>
      </c>
      <c r="F17" s="43">
        <v>0.74199999999999999</v>
      </c>
      <c r="G17" s="43">
        <v>0.58199999999999996</v>
      </c>
      <c r="H17" s="39">
        <v>0.68100000000000005</v>
      </c>
      <c r="I17" s="39">
        <v>0.64200000000000002</v>
      </c>
      <c r="J17" s="39">
        <v>0.70299999999999996</v>
      </c>
      <c r="K17" s="53">
        <v>7.9000000000000001E-2</v>
      </c>
      <c r="L17" s="53">
        <v>0.83499999999999996</v>
      </c>
      <c r="M17" s="53">
        <v>0.83</v>
      </c>
    </row>
    <row r="18" spans="1:13" x14ac:dyDescent="0.25">
      <c r="A18" s="5" t="s">
        <v>1</v>
      </c>
      <c r="B18" s="44">
        <v>0.73499999999999999</v>
      </c>
      <c r="C18" s="44">
        <v>0.77300000000000002</v>
      </c>
      <c r="D18" s="44">
        <v>0.77</v>
      </c>
      <c r="E18" s="43">
        <v>0.68200000000000005</v>
      </c>
      <c r="F18" s="43">
        <v>0.77900000000000003</v>
      </c>
      <c r="G18" s="43">
        <v>0.66400000000000003</v>
      </c>
      <c r="H18" s="39">
        <v>0.66100000000000003</v>
      </c>
      <c r="I18" s="39">
        <v>0.61799999999999999</v>
      </c>
      <c r="J18" s="39">
        <v>0.72899999999999998</v>
      </c>
      <c r="K18" s="53">
        <v>5.8000000000000003E-2</v>
      </c>
      <c r="L18" s="53">
        <v>0.755</v>
      </c>
      <c r="M18" s="53">
        <v>0.78</v>
      </c>
    </row>
    <row r="19" spans="1:13" x14ac:dyDescent="0.25">
      <c r="A19" s="5" t="s">
        <v>2</v>
      </c>
      <c r="B19" s="44">
        <v>0.66700000000000004</v>
      </c>
      <c r="C19" s="44">
        <v>0.755</v>
      </c>
      <c r="D19" s="44">
        <v>0.70399999999999996</v>
      </c>
      <c r="E19" s="43">
        <v>0.63700000000000001</v>
      </c>
      <c r="F19" s="43">
        <v>0.61199999999999999</v>
      </c>
      <c r="G19" s="43">
        <v>0.63600000000000001</v>
      </c>
      <c r="H19" s="39">
        <v>0.63300000000000001</v>
      </c>
      <c r="I19" s="39">
        <v>0.56599999999999995</v>
      </c>
      <c r="J19" s="39">
        <v>0.58899999999999997</v>
      </c>
      <c r="K19" s="53">
        <v>0.05</v>
      </c>
      <c r="L19" s="53">
        <v>0.64800000000000002</v>
      </c>
      <c r="M19" s="53">
        <v>0.68700000000000006</v>
      </c>
    </row>
    <row r="20" spans="1:13" x14ac:dyDescent="0.25">
      <c r="A20" s="5" t="s">
        <v>3</v>
      </c>
      <c r="B20" s="44">
        <v>0.65700000000000003</v>
      </c>
      <c r="C20" s="44">
        <v>0.73799999999999999</v>
      </c>
      <c r="D20" s="44">
        <v>0.70899999999999996</v>
      </c>
      <c r="E20" s="43">
        <v>0.61599999999999999</v>
      </c>
      <c r="F20" s="43">
        <v>0.63700000000000001</v>
      </c>
      <c r="G20" s="43">
        <v>0.60699999999999998</v>
      </c>
      <c r="H20" s="39">
        <v>0.54500000000000004</v>
      </c>
      <c r="I20" s="39">
        <v>0.51</v>
      </c>
      <c r="J20" s="39">
        <v>0.55400000000000005</v>
      </c>
      <c r="K20" s="53">
        <v>7.9000000000000001E-2</v>
      </c>
      <c r="L20" s="53">
        <v>0.49299999999999999</v>
      </c>
      <c r="M20" s="53">
        <v>0.61799999999999999</v>
      </c>
    </row>
    <row r="21" spans="1:13" x14ac:dyDescent="0.25">
      <c r="A21" s="5" t="s">
        <v>4</v>
      </c>
      <c r="B21" s="44">
        <v>0.71299999999999997</v>
      </c>
      <c r="C21" s="44">
        <v>0.77700000000000002</v>
      </c>
      <c r="D21" s="44">
        <v>0.66</v>
      </c>
      <c r="E21" s="43">
        <v>0.69299999999999995</v>
      </c>
      <c r="F21" s="43">
        <v>0.61799999999999999</v>
      </c>
      <c r="G21" s="43">
        <v>0.58899999999999997</v>
      </c>
      <c r="H21" s="39">
        <v>0.52200000000000002</v>
      </c>
      <c r="I21" s="39">
        <v>0.57799999999999996</v>
      </c>
      <c r="J21" s="39">
        <v>0.64700000000000002</v>
      </c>
      <c r="K21" s="53">
        <v>6.4000000000000001E-2</v>
      </c>
      <c r="L21" s="53">
        <v>0.436</v>
      </c>
      <c r="M21" s="53">
        <v>0.45500000000000002</v>
      </c>
    </row>
    <row r="22" spans="1:13" x14ac:dyDescent="0.25">
      <c r="A22" s="5" t="s">
        <v>5</v>
      </c>
      <c r="B22" s="44">
        <v>0.65500000000000003</v>
      </c>
      <c r="C22" s="44">
        <v>0.50600000000000001</v>
      </c>
      <c r="D22" s="44">
        <v>0.52600000000000002</v>
      </c>
      <c r="E22" s="43">
        <v>0.42299999999999999</v>
      </c>
      <c r="F22" s="43">
        <v>0.625</v>
      </c>
      <c r="G22" s="43">
        <v>0.53</v>
      </c>
      <c r="H22" s="39">
        <v>0.504</v>
      </c>
      <c r="I22" s="39">
        <v>0.45300000000000001</v>
      </c>
      <c r="J22" s="39">
        <v>0.55800000000000005</v>
      </c>
      <c r="K22" s="53">
        <v>0.05</v>
      </c>
      <c r="L22" s="53">
        <v>0.28899999999999998</v>
      </c>
      <c r="M22" s="53">
        <v>0.24</v>
      </c>
    </row>
    <row r="23" spans="1:13" x14ac:dyDescent="0.25">
      <c r="A23" s="5" t="s">
        <v>6</v>
      </c>
      <c r="B23" s="44">
        <v>0.70399999999999996</v>
      </c>
      <c r="C23" s="44">
        <v>0.68100000000000005</v>
      </c>
      <c r="D23" s="44">
        <v>0.78700000000000003</v>
      </c>
      <c r="E23" s="43">
        <v>0.60399999999999998</v>
      </c>
      <c r="F23" s="43">
        <v>0.65400000000000003</v>
      </c>
      <c r="G23" s="43">
        <v>0.78700000000000003</v>
      </c>
      <c r="H23" s="39">
        <v>0.67</v>
      </c>
      <c r="I23" s="39">
        <v>0.64500000000000002</v>
      </c>
      <c r="J23" s="39">
        <v>0.70299999999999996</v>
      </c>
      <c r="K23" s="54">
        <v>4.1000000000000002E-2</v>
      </c>
      <c r="L23" s="53">
        <v>0.19700000000000001</v>
      </c>
      <c r="M23" s="53">
        <v>0.17399999999999999</v>
      </c>
    </row>
    <row r="24" spans="1:13" x14ac:dyDescent="0.25">
      <c r="A24" s="5" t="s">
        <v>7</v>
      </c>
      <c r="B24" s="44">
        <v>0.51900000000000002</v>
      </c>
      <c r="C24" s="44">
        <v>0.57099999999999995</v>
      </c>
      <c r="D24" s="44">
        <v>0.52500000000000002</v>
      </c>
      <c r="E24" s="43">
        <v>0.48499999999999999</v>
      </c>
      <c r="F24" s="43">
        <v>0.38200000000000001</v>
      </c>
      <c r="G24" s="43">
        <v>0.4</v>
      </c>
      <c r="H24" s="39">
        <v>0.64700000000000002</v>
      </c>
      <c r="I24" s="39">
        <v>0.57699999999999996</v>
      </c>
      <c r="J24" s="39">
        <v>0.68200000000000005</v>
      </c>
      <c r="K24" s="54">
        <v>4.1000000000000002E-2</v>
      </c>
      <c r="L24" s="53">
        <v>0.112</v>
      </c>
      <c r="M24" s="53">
        <v>0.123</v>
      </c>
    </row>
    <row r="25" spans="1:13" x14ac:dyDescent="0.25">
      <c r="A25" s="10"/>
      <c r="B25" s="37"/>
      <c r="C25" s="37"/>
      <c r="D25" s="37"/>
      <c r="E25" s="38"/>
      <c r="F25" s="38"/>
      <c r="G25" s="38"/>
      <c r="H25" s="38"/>
      <c r="I25" s="38"/>
      <c r="J25" s="38"/>
      <c r="K25" s="38"/>
      <c r="L25" s="38"/>
      <c r="M25" s="38"/>
    </row>
    <row r="26" spans="1:13" x14ac:dyDescent="0.25">
      <c r="A26" s="14" t="s">
        <v>9</v>
      </c>
      <c r="B26" s="35"/>
      <c r="C26" s="35"/>
      <c r="D26" s="35"/>
      <c r="E26" s="30"/>
      <c r="F26" s="30"/>
      <c r="G26" s="30"/>
      <c r="H26" s="30"/>
      <c r="I26" s="30"/>
      <c r="J26" s="30"/>
      <c r="K26" s="30"/>
      <c r="L26" s="30"/>
      <c r="M26" s="30"/>
    </row>
    <row r="27" spans="1:13" x14ac:dyDescent="0.25">
      <c r="A27" s="5"/>
      <c r="B27" s="8">
        <v>1</v>
      </c>
      <c r="C27" s="8">
        <v>2</v>
      </c>
      <c r="D27" s="8">
        <v>3</v>
      </c>
      <c r="E27" s="40">
        <v>4</v>
      </c>
      <c r="F27" s="40">
        <v>5</v>
      </c>
      <c r="G27" s="40">
        <v>6</v>
      </c>
      <c r="H27" s="7">
        <v>7</v>
      </c>
      <c r="I27" s="7">
        <v>8</v>
      </c>
      <c r="J27" s="7">
        <v>9</v>
      </c>
      <c r="K27" s="9">
        <v>10</v>
      </c>
      <c r="L27" s="9">
        <v>11</v>
      </c>
      <c r="M27" s="9">
        <v>12</v>
      </c>
    </row>
    <row r="28" spans="1:13" x14ac:dyDescent="0.25">
      <c r="A28" s="5" t="s">
        <v>0</v>
      </c>
      <c r="B28" s="44">
        <v>5.1999999999999998E-2</v>
      </c>
      <c r="C28" s="44">
        <v>7.8E-2</v>
      </c>
      <c r="D28" s="44">
        <v>4.9000000000000002E-2</v>
      </c>
      <c r="E28" s="43">
        <v>4.2999999999999997E-2</v>
      </c>
      <c r="F28" s="43">
        <v>3.7999999999999999E-2</v>
      </c>
      <c r="G28" s="43">
        <v>6.6000000000000003E-2</v>
      </c>
      <c r="H28" s="39">
        <v>4.8000000000000001E-2</v>
      </c>
      <c r="I28" s="39">
        <v>3.6999999999999998E-2</v>
      </c>
      <c r="J28" s="39">
        <v>4.1000000000000002E-2</v>
      </c>
      <c r="K28" s="53">
        <v>3.6999999999999998E-2</v>
      </c>
      <c r="L28" s="53">
        <v>3.7999999999999999E-2</v>
      </c>
      <c r="M28" s="53">
        <v>6.3E-2</v>
      </c>
    </row>
    <row r="29" spans="1:13" x14ac:dyDescent="0.25">
      <c r="A29" s="5" t="s">
        <v>1</v>
      </c>
      <c r="B29" s="44">
        <v>6.6000000000000003E-2</v>
      </c>
      <c r="C29" s="44">
        <v>6.3E-2</v>
      </c>
      <c r="D29" s="44">
        <v>4.2000000000000003E-2</v>
      </c>
      <c r="E29" s="43">
        <v>4.3999999999999997E-2</v>
      </c>
      <c r="F29" s="43">
        <v>3.7999999999999999E-2</v>
      </c>
      <c r="G29" s="43">
        <v>4.3999999999999997E-2</v>
      </c>
      <c r="H29" s="39">
        <v>4.4999999999999998E-2</v>
      </c>
      <c r="I29" s="39">
        <v>4.7E-2</v>
      </c>
      <c r="J29" s="39">
        <v>4.2999999999999997E-2</v>
      </c>
      <c r="K29" s="53">
        <v>3.6999999999999998E-2</v>
      </c>
      <c r="L29" s="53">
        <v>3.6999999999999998E-2</v>
      </c>
      <c r="M29" s="53">
        <v>4.3999999999999997E-2</v>
      </c>
    </row>
    <row r="30" spans="1:13" x14ac:dyDescent="0.25">
      <c r="A30" s="5" t="s">
        <v>2</v>
      </c>
      <c r="B30" s="44">
        <v>6.6000000000000003E-2</v>
      </c>
      <c r="C30" s="44">
        <v>5.5E-2</v>
      </c>
      <c r="D30" s="44">
        <v>3.7999999999999999E-2</v>
      </c>
      <c r="E30" s="43">
        <v>4.2000000000000003E-2</v>
      </c>
      <c r="F30" s="43">
        <v>4.1000000000000002E-2</v>
      </c>
      <c r="G30" s="43">
        <v>3.6999999999999998E-2</v>
      </c>
      <c r="H30" s="39">
        <v>3.7999999999999999E-2</v>
      </c>
      <c r="I30" s="39">
        <v>3.9E-2</v>
      </c>
      <c r="J30" s="39">
        <v>4.1000000000000002E-2</v>
      </c>
      <c r="K30" s="53">
        <v>3.5000000000000003E-2</v>
      </c>
      <c r="L30" s="53">
        <v>4.7E-2</v>
      </c>
      <c r="M30" s="53">
        <v>3.7999999999999999E-2</v>
      </c>
    </row>
    <row r="31" spans="1:13" x14ac:dyDescent="0.25">
      <c r="A31" s="5" t="s">
        <v>3</v>
      </c>
      <c r="B31" s="44">
        <v>6.2E-2</v>
      </c>
      <c r="C31" s="44">
        <v>5.2999999999999999E-2</v>
      </c>
      <c r="D31" s="44">
        <v>3.7999999999999999E-2</v>
      </c>
      <c r="E31" s="43">
        <v>3.9E-2</v>
      </c>
      <c r="F31" s="43">
        <v>4.1000000000000002E-2</v>
      </c>
      <c r="G31" s="43">
        <v>4.9000000000000002E-2</v>
      </c>
      <c r="H31" s="39">
        <v>3.6999999999999998E-2</v>
      </c>
      <c r="I31" s="39">
        <v>6.7000000000000004E-2</v>
      </c>
      <c r="J31" s="39">
        <v>4.1000000000000002E-2</v>
      </c>
      <c r="K31" s="53">
        <v>3.6999999999999998E-2</v>
      </c>
      <c r="L31" s="53">
        <v>6.5000000000000002E-2</v>
      </c>
      <c r="M31" s="53">
        <v>3.6999999999999998E-2</v>
      </c>
    </row>
    <row r="32" spans="1:13" x14ac:dyDescent="0.25">
      <c r="A32" s="5" t="s">
        <v>4</v>
      </c>
      <c r="B32" s="44">
        <v>4.2999999999999997E-2</v>
      </c>
      <c r="C32" s="44">
        <v>4.1000000000000002E-2</v>
      </c>
      <c r="D32" s="44">
        <v>3.9E-2</v>
      </c>
      <c r="E32" s="43">
        <v>3.9E-2</v>
      </c>
      <c r="F32" s="43">
        <v>4.9000000000000002E-2</v>
      </c>
      <c r="G32" s="43">
        <v>6.3E-2</v>
      </c>
      <c r="H32" s="39">
        <v>5.2999999999999999E-2</v>
      </c>
      <c r="I32" s="39">
        <v>5.8999999999999997E-2</v>
      </c>
      <c r="J32" s="39">
        <v>3.7999999999999999E-2</v>
      </c>
      <c r="K32" s="53">
        <v>4.2000000000000003E-2</v>
      </c>
      <c r="L32" s="53">
        <v>4.5999999999999999E-2</v>
      </c>
      <c r="M32" s="53">
        <v>0.04</v>
      </c>
    </row>
    <row r="33" spans="1:13" x14ac:dyDescent="0.25">
      <c r="A33" s="5" t="s">
        <v>5</v>
      </c>
      <c r="B33" s="44">
        <v>5.5E-2</v>
      </c>
      <c r="C33" s="44">
        <v>8.6999999999999994E-2</v>
      </c>
      <c r="D33" s="44">
        <v>6.7000000000000004E-2</v>
      </c>
      <c r="E33" s="43">
        <v>8.1000000000000003E-2</v>
      </c>
      <c r="F33" s="43">
        <v>3.7999999999999999E-2</v>
      </c>
      <c r="G33" s="43">
        <v>5.1999999999999998E-2</v>
      </c>
      <c r="H33" s="39">
        <v>4.8000000000000001E-2</v>
      </c>
      <c r="I33" s="39">
        <v>5.2999999999999999E-2</v>
      </c>
      <c r="J33" s="39">
        <v>0.05</v>
      </c>
      <c r="K33" s="53">
        <v>3.5999999999999997E-2</v>
      </c>
      <c r="L33" s="53">
        <v>4.1000000000000002E-2</v>
      </c>
      <c r="M33" s="53">
        <v>5.3999999999999999E-2</v>
      </c>
    </row>
    <row r="34" spans="1:13" x14ac:dyDescent="0.25">
      <c r="A34" s="5" t="s">
        <v>6</v>
      </c>
      <c r="B34" s="44">
        <v>9.1999999999999998E-2</v>
      </c>
      <c r="C34" s="44">
        <v>8.4000000000000005E-2</v>
      </c>
      <c r="D34" s="44">
        <v>0.04</v>
      </c>
      <c r="E34" s="43">
        <v>6.9000000000000006E-2</v>
      </c>
      <c r="F34" s="43">
        <v>5.0999999999999997E-2</v>
      </c>
      <c r="G34" s="43">
        <v>3.9E-2</v>
      </c>
      <c r="H34" s="39">
        <v>3.9E-2</v>
      </c>
      <c r="I34" s="39">
        <v>5.8000000000000003E-2</v>
      </c>
      <c r="J34" s="39">
        <v>4.9000000000000002E-2</v>
      </c>
      <c r="K34" s="54">
        <v>3.6999999999999998E-2</v>
      </c>
      <c r="L34" s="53">
        <v>3.6999999999999998E-2</v>
      </c>
      <c r="M34" s="53">
        <v>4.2999999999999997E-2</v>
      </c>
    </row>
    <row r="35" spans="1:13" x14ac:dyDescent="0.25">
      <c r="A35" s="5" t="s">
        <v>7</v>
      </c>
      <c r="B35" s="44">
        <v>6.5000000000000002E-2</v>
      </c>
      <c r="C35" s="44">
        <v>4.1000000000000002E-2</v>
      </c>
      <c r="D35" s="44">
        <v>0.04</v>
      </c>
      <c r="E35" s="43">
        <v>4.5999999999999999E-2</v>
      </c>
      <c r="F35" s="43">
        <v>5.6000000000000001E-2</v>
      </c>
      <c r="G35" s="43">
        <v>6.2E-2</v>
      </c>
      <c r="H35" s="39">
        <v>5.1999999999999998E-2</v>
      </c>
      <c r="I35" s="39">
        <v>8.7999999999999995E-2</v>
      </c>
      <c r="J35" s="39">
        <v>6.3E-2</v>
      </c>
      <c r="K35" s="54">
        <v>3.6999999999999998E-2</v>
      </c>
      <c r="L35" s="53">
        <v>3.6999999999999998E-2</v>
      </c>
      <c r="M35" s="53">
        <v>3.5999999999999997E-2</v>
      </c>
    </row>
    <row r="36" spans="1:13" x14ac:dyDescent="0.25">
      <c r="A36" s="10"/>
      <c r="B36" s="4"/>
      <c r="C36" s="4"/>
      <c r="D36" s="4"/>
      <c r="E36" s="11"/>
      <c r="F36" s="11"/>
      <c r="G36" s="11"/>
      <c r="H36" s="11"/>
      <c r="I36" s="11"/>
      <c r="J36" s="11"/>
      <c r="K36" s="11"/>
      <c r="L36" s="11"/>
      <c r="M36" s="11"/>
    </row>
    <row r="37" spans="1:13" x14ac:dyDescent="0.25">
      <c r="A37" s="14" t="s">
        <v>10</v>
      </c>
      <c r="B37" s="5"/>
      <c r="C37" s="3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25">
      <c r="A38" s="6"/>
      <c r="B38" s="8">
        <v>1</v>
      </c>
      <c r="C38" s="8">
        <v>2</v>
      </c>
      <c r="D38" s="8">
        <v>3</v>
      </c>
      <c r="E38" s="40">
        <v>4</v>
      </c>
      <c r="F38" s="40">
        <v>5</v>
      </c>
      <c r="G38" s="40">
        <v>6</v>
      </c>
      <c r="H38" s="7">
        <v>7</v>
      </c>
      <c r="I38" s="7">
        <v>8</v>
      </c>
      <c r="J38" s="7">
        <v>9</v>
      </c>
      <c r="K38" s="9">
        <v>10</v>
      </c>
      <c r="L38" s="9">
        <v>11</v>
      </c>
      <c r="M38" s="9">
        <v>12</v>
      </c>
    </row>
    <row r="39" spans="1:13" x14ac:dyDescent="0.25">
      <c r="A39" s="5" t="s">
        <v>0</v>
      </c>
      <c r="B39" s="21">
        <f>B17-B28</f>
        <v>0.83499999999999996</v>
      </c>
      <c r="C39" s="21">
        <f>C17-C28</f>
        <v>0.628</v>
      </c>
      <c r="D39" s="21">
        <f t="shared" ref="D39:M39" si="0">D17-D28</f>
        <v>0.66299999999999992</v>
      </c>
      <c r="E39" s="41">
        <f t="shared" si="0"/>
        <v>0.56999999999999995</v>
      </c>
      <c r="F39" s="41">
        <f t="shared" si="0"/>
        <v>0.70399999999999996</v>
      </c>
      <c r="G39" s="41">
        <f t="shared" si="0"/>
        <v>0.51600000000000001</v>
      </c>
      <c r="H39" s="20">
        <f t="shared" si="0"/>
        <v>0.63300000000000001</v>
      </c>
      <c r="I39" s="20">
        <f t="shared" si="0"/>
        <v>0.60499999999999998</v>
      </c>
      <c r="J39" s="20">
        <f t="shared" si="0"/>
        <v>0.66199999999999992</v>
      </c>
      <c r="K39" s="22">
        <f>K17-K28</f>
        <v>4.2000000000000003E-2</v>
      </c>
      <c r="L39" s="22">
        <f t="shared" si="0"/>
        <v>0.79699999999999993</v>
      </c>
      <c r="M39" s="22">
        <f t="shared" si="0"/>
        <v>0.7669999999999999</v>
      </c>
    </row>
    <row r="40" spans="1:13" x14ac:dyDescent="0.25">
      <c r="A40" s="5" t="s">
        <v>1</v>
      </c>
      <c r="B40" s="21">
        <f t="shared" ref="B40:M46" si="1">B18-B29</f>
        <v>0.66900000000000004</v>
      </c>
      <c r="C40" s="21">
        <f t="shared" si="1"/>
        <v>0.71</v>
      </c>
      <c r="D40" s="21">
        <f t="shared" si="1"/>
        <v>0.72799999999999998</v>
      </c>
      <c r="E40" s="41">
        <f t="shared" si="1"/>
        <v>0.63800000000000001</v>
      </c>
      <c r="F40" s="41">
        <f t="shared" si="1"/>
        <v>0.74099999999999999</v>
      </c>
      <c r="G40" s="41">
        <f t="shared" si="1"/>
        <v>0.62</v>
      </c>
      <c r="H40" s="20">
        <f t="shared" si="1"/>
        <v>0.61599999999999999</v>
      </c>
      <c r="I40" s="20">
        <f t="shared" si="1"/>
        <v>0.57099999999999995</v>
      </c>
      <c r="J40" s="20">
        <f t="shared" si="1"/>
        <v>0.68599999999999994</v>
      </c>
      <c r="K40" s="22">
        <f>K18-K29</f>
        <v>2.1000000000000005E-2</v>
      </c>
      <c r="L40" s="22">
        <f t="shared" si="1"/>
        <v>0.71799999999999997</v>
      </c>
      <c r="M40" s="22">
        <f t="shared" si="1"/>
        <v>0.73599999999999999</v>
      </c>
    </row>
    <row r="41" spans="1:13" x14ac:dyDescent="0.25">
      <c r="A41" s="5" t="s">
        <v>2</v>
      </c>
      <c r="B41" s="21">
        <f t="shared" si="1"/>
        <v>0.60099999999999998</v>
      </c>
      <c r="C41" s="21">
        <f t="shared" si="1"/>
        <v>0.7</v>
      </c>
      <c r="D41" s="21">
        <f t="shared" si="1"/>
        <v>0.66599999999999993</v>
      </c>
      <c r="E41" s="41">
        <f>E19-E30</f>
        <v>0.59499999999999997</v>
      </c>
      <c r="F41" s="41">
        <f t="shared" si="1"/>
        <v>0.57099999999999995</v>
      </c>
      <c r="G41" s="41">
        <f t="shared" si="1"/>
        <v>0.59899999999999998</v>
      </c>
      <c r="H41" s="20">
        <f t="shared" si="1"/>
        <v>0.59499999999999997</v>
      </c>
      <c r="I41" s="20">
        <f t="shared" si="1"/>
        <v>0.52699999999999991</v>
      </c>
      <c r="J41" s="20">
        <f>J19-J30</f>
        <v>0.54799999999999993</v>
      </c>
      <c r="K41" s="22">
        <f t="shared" si="1"/>
        <v>1.4999999999999999E-2</v>
      </c>
      <c r="L41" s="22">
        <f t="shared" si="1"/>
        <v>0.60099999999999998</v>
      </c>
      <c r="M41" s="22">
        <f t="shared" si="1"/>
        <v>0.64900000000000002</v>
      </c>
    </row>
    <row r="42" spans="1:13" x14ac:dyDescent="0.25">
      <c r="A42" s="5" t="s">
        <v>3</v>
      </c>
      <c r="B42" s="21">
        <f t="shared" si="1"/>
        <v>0.59499999999999997</v>
      </c>
      <c r="C42" s="21">
        <f t="shared" si="1"/>
        <v>0.68499999999999994</v>
      </c>
      <c r="D42" s="21">
        <f t="shared" si="1"/>
        <v>0.67099999999999993</v>
      </c>
      <c r="E42" s="41">
        <f t="shared" si="1"/>
        <v>0.57699999999999996</v>
      </c>
      <c r="F42" s="41">
        <f t="shared" si="1"/>
        <v>0.59599999999999997</v>
      </c>
      <c r="G42" s="41">
        <f t="shared" si="1"/>
        <v>0.55799999999999994</v>
      </c>
      <c r="H42" s="20">
        <f t="shared" si="1"/>
        <v>0.50800000000000001</v>
      </c>
      <c r="I42" s="20">
        <f t="shared" si="1"/>
        <v>0.443</v>
      </c>
      <c r="J42" s="20">
        <f t="shared" si="1"/>
        <v>0.51300000000000001</v>
      </c>
      <c r="K42" s="22">
        <f t="shared" si="1"/>
        <v>4.2000000000000003E-2</v>
      </c>
      <c r="L42" s="22">
        <f t="shared" si="1"/>
        <v>0.42799999999999999</v>
      </c>
      <c r="M42" s="22">
        <f t="shared" si="1"/>
        <v>0.58099999999999996</v>
      </c>
    </row>
    <row r="43" spans="1:13" x14ac:dyDescent="0.25">
      <c r="A43" s="5" t="s">
        <v>4</v>
      </c>
      <c r="B43" s="21">
        <f t="shared" si="1"/>
        <v>0.66999999999999993</v>
      </c>
      <c r="C43" s="21">
        <f>C21-C32</f>
        <v>0.73599999999999999</v>
      </c>
      <c r="D43" s="21">
        <f>D21-D32</f>
        <v>0.621</v>
      </c>
      <c r="E43" s="41">
        <f t="shared" si="1"/>
        <v>0.65399999999999991</v>
      </c>
      <c r="F43" s="41">
        <f t="shared" si="1"/>
        <v>0.56899999999999995</v>
      </c>
      <c r="G43" s="41">
        <f t="shared" si="1"/>
        <v>0.52600000000000002</v>
      </c>
      <c r="H43" s="20">
        <f t="shared" si="1"/>
        <v>0.46900000000000003</v>
      </c>
      <c r="I43" s="20">
        <f t="shared" si="1"/>
        <v>0.51899999999999991</v>
      </c>
      <c r="J43" s="20">
        <f t="shared" si="1"/>
        <v>0.60899999999999999</v>
      </c>
      <c r="K43" s="22">
        <f t="shared" si="1"/>
        <v>2.1999999999999999E-2</v>
      </c>
      <c r="L43" s="22">
        <f t="shared" si="1"/>
        <v>0.39</v>
      </c>
      <c r="M43" s="22">
        <f t="shared" si="1"/>
        <v>0.41500000000000004</v>
      </c>
    </row>
    <row r="44" spans="1:13" x14ac:dyDescent="0.25">
      <c r="A44" s="5" t="s">
        <v>5</v>
      </c>
      <c r="B44" s="21">
        <f t="shared" si="1"/>
        <v>0.6</v>
      </c>
      <c r="C44" s="21">
        <f>C22-C33</f>
        <v>0.41900000000000004</v>
      </c>
      <c r="D44" s="21">
        <f t="shared" si="1"/>
        <v>0.45900000000000002</v>
      </c>
      <c r="E44" s="41">
        <f t="shared" si="1"/>
        <v>0.34199999999999997</v>
      </c>
      <c r="F44" s="41">
        <f t="shared" si="1"/>
        <v>0.58699999999999997</v>
      </c>
      <c r="G44" s="41">
        <f t="shared" si="1"/>
        <v>0.47800000000000004</v>
      </c>
      <c r="H44" s="20">
        <f t="shared" si="1"/>
        <v>0.45600000000000002</v>
      </c>
      <c r="I44" s="20">
        <f t="shared" si="1"/>
        <v>0.4</v>
      </c>
      <c r="J44" s="20">
        <f>J22-J33</f>
        <v>0.50800000000000001</v>
      </c>
      <c r="K44" s="22">
        <f>K22-K33</f>
        <v>1.4000000000000005E-2</v>
      </c>
      <c r="L44" s="22">
        <f t="shared" si="1"/>
        <v>0.24799999999999997</v>
      </c>
      <c r="M44" s="22">
        <f t="shared" si="1"/>
        <v>0.186</v>
      </c>
    </row>
    <row r="45" spans="1:13" x14ac:dyDescent="0.25">
      <c r="A45" s="5" t="s">
        <v>6</v>
      </c>
      <c r="B45" s="21">
        <f t="shared" si="1"/>
        <v>0.61199999999999999</v>
      </c>
      <c r="C45" s="21">
        <f t="shared" si="1"/>
        <v>0.59700000000000009</v>
      </c>
      <c r="D45" s="21">
        <f t="shared" si="1"/>
        <v>0.747</v>
      </c>
      <c r="E45" s="41">
        <f t="shared" si="1"/>
        <v>0.53499999999999992</v>
      </c>
      <c r="F45" s="41">
        <f t="shared" si="1"/>
        <v>0.60299999999999998</v>
      </c>
      <c r="G45" s="41">
        <f t="shared" si="1"/>
        <v>0.748</v>
      </c>
      <c r="H45" s="20">
        <f t="shared" si="1"/>
        <v>0.63100000000000001</v>
      </c>
      <c r="I45" s="20">
        <f t="shared" si="1"/>
        <v>0.58699999999999997</v>
      </c>
      <c r="J45" s="20">
        <f t="shared" si="1"/>
        <v>0.65399999999999991</v>
      </c>
      <c r="K45" s="23">
        <f>K23-K34</f>
        <v>4.0000000000000036E-3</v>
      </c>
      <c r="L45" s="22">
        <f t="shared" si="1"/>
        <v>0.16</v>
      </c>
      <c r="M45" s="22">
        <f t="shared" si="1"/>
        <v>0.13100000000000001</v>
      </c>
    </row>
    <row r="46" spans="1:13" x14ac:dyDescent="0.25">
      <c r="A46" s="5" t="s">
        <v>7</v>
      </c>
      <c r="B46" s="21">
        <f t="shared" si="1"/>
        <v>0.45400000000000001</v>
      </c>
      <c r="C46" s="21">
        <f t="shared" si="1"/>
        <v>0.52999999999999992</v>
      </c>
      <c r="D46" s="21">
        <f t="shared" si="1"/>
        <v>0.48500000000000004</v>
      </c>
      <c r="E46" s="41">
        <f t="shared" si="1"/>
        <v>0.439</v>
      </c>
      <c r="F46" s="41">
        <f t="shared" si="1"/>
        <v>0.32600000000000001</v>
      </c>
      <c r="G46" s="41">
        <f>G24-G35</f>
        <v>0.33800000000000002</v>
      </c>
      <c r="H46" s="20">
        <f t="shared" si="1"/>
        <v>0.59499999999999997</v>
      </c>
      <c r="I46" s="20">
        <f t="shared" si="1"/>
        <v>0.48899999999999999</v>
      </c>
      <c r="J46" s="20">
        <f t="shared" si="1"/>
        <v>0.61899999999999999</v>
      </c>
      <c r="K46" s="23">
        <f t="shared" si="1"/>
        <v>4.0000000000000036E-3</v>
      </c>
      <c r="L46" s="22">
        <f t="shared" si="1"/>
        <v>7.5000000000000011E-2</v>
      </c>
      <c r="M46" s="22">
        <f t="shared" si="1"/>
        <v>8.6999999999999994E-2</v>
      </c>
    </row>
    <row r="47" spans="1:13" x14ac:dyDescent="0.25">
      <c r="B47" s="11"/>
      <c r="C47" s="11"/>
      <c r="D47" s="11"/>
      <c r="E47" s="11"/>
      <c r="F47" s="11"/>
      <c r="G47" s="11"/>
      <c r="H47" s="11"/>
      <c r="I47" s="11"/>
      <c r="J47" s="11"/>
      <c r="K47" s="31">
        <f>AVERAGE(K45,K46)</f>
        <v>4.0000000000000036E-3</v>
      </c>
      <c r="L47" s="11"/>
      <c r="M47" s="11"/>
    </row>
    <row r="48" spans="1:13" x14ac:dyDescent="0.2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x14ac:dyDescent="0.2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 x14ac:dyDescent="0.25">
      <c r="A50" s="24" t="s">
        <v>47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x14ac:dyDescent="0.25">
      <c r="A51" s="6"/>
      <c r="B51" s="8">
        <v>1</v>
      </c>
      <c r="C51" s="8">
        <v>2</v>
      </c>
      <c r="D51" s="8">
        <v>3</v>
      </c>
      <c r="E51" s="40">
        <v>4</v>
      </c>
      <c r="F51" s="40">
        <v>5</v>
      </c>
      <c r="G51" s="40">
        <v>6</v>
      </c>
      <c r="H51" s="7">
        <v>7</v>
      </c>
      <c r="I51" s="7">
        <v>8</v>
      </c>
      <c r="J51" s="7">
        <v>9</v>
      </c>
      <c r="K51" s="9">
        <v>10</v>
      </c>
      <c r="L51" s="9">
        <v>11</v>
      </c>
      <c r="M51" s="9">
        <v>12</v>
      </c>
    </row>
    <row r="52" spans="1:13" x14ac:dyDescent="0.25">
      <c r="A52" s="5" t="s">
        <v>0</v>
      </c>
      <c r="B52" s="33">
        <f t="shared" ref="B52:H52" si="2">B39-$K$47</f>
        <v>0.83099999999999996</v>
      </c>
      <c r="C52" s="33">
        <f t="shared" si="2"/>
        <v>0.624</v>
      </c>
      <c r="D52" s="33">
        <f t="shared" si="2"/>
        <v>0.65899999999999992</v>
      </c>
      <c r="E52" s="42">
        <f t="shared" si="2"/>
        <v>0.56599999999999995</v>
      </c>
      <c r="F52" s="42">
        <f t="shared" si="2"/>
        <v>0.7</v>
      </c>
      <c r="G52" s="42">
        <f t="shared" si="2"/>
        <v>0.51200000000000001</v>
      </c>
      <c r="H52" s="32">
        <f t="shared" si="2"/>
        <v>0.629</v>
      </c>
      <c r="I52" s="32">
        <f>I39-$K$47</f>
        <v>0.60099999999999998</v>
      </c>
      <c r="J52" s="32">
        <f>J39-$K$47</f>
        <v>0.65799999999999992</v>
      </c>
      <c r="K52" s="34">
        <f>K39-$K$47</f>
        <v>3.7999999999999999E-2</v>
      </c>
      <c r="L52" s="34">
        <f>L39-$K$47</f>
        <v>0.79299999999999993</v>
      </c>
      <c r="M52" s="34">
        <f>M39-$K$47</f>
        <v>0.7629999999999999</v>
      </c>
    </row>
    <row r="53" spans="1:13" x14ac:dyDescent="0.25">
      <c r="A53" s="5" t="s">
        <v>1</v>
      </c>
      <c r="B53" s="33">
        <f t="shared" ref="B53:M59" si="3">B40-$K$47</f>
        <v>0.66500000000000004</v>
      </c>
      <c r="C53" s="33">
        <f t="shared" si="3"/>
        <v>0.70599999999999996</v>
      </c>
      <c r="D53" s="33">
        <f t="shared" si="3"/>
        <v>0.72399999999999998</v>
      </c>
      <c r="E53" s="42">
        <f t="shared" si="3"/>
        <v>0.63400000000000001</v>
      </c>
      <c r="F53" s="42">
        <f t="shared" si="3"/>
        <v>0.73699999999999999</v>
      </c>
      <c r="G53" s="42">
        <f t="shared" si="3"/>
        <v>0.61599999999999999</v>
      </c>
      <c r="H53" s="32">
        <f t="shared" si="3"/>
        <v>0.61199999999999999</v>
      </c>
      <c r="I53" s="32">
        <f t="shared" si="3"/>
        <v>0.56699999999999995</v>
      </c>
      <c r="J53" s="32">
        <f t="shared" si="3"/>
        <v>0.68199999999999994</v>
      </c>
      <c r="K53" s="34">
        <f t="shared" si="3"/>
        <v>1.7000000000000001E-2</v>
      </c>
      <c r="L53" s="34">
        <f t="shared" si="3"/>
        <v>0.71399999999999997</v>
      </c>
      <c r="M53" s="34">
        <f t="shared" si="3"/>
        <v>0.73199999999999998</v>
      </c>
    </row>
    <row r="54" spans="1:13" x14ac:dyDescent="0.25">
      <c r="A54" s="5" t="s">
        <v>2</v>
      </c>
      <c r="B54" s="33">
        <f t="shared" si="3"/>
        <v>0.59699999999999998</v>
      </c>
      <c r="C54" s="33">
        <f t="shared" si="3"/>
        <v>0.69599999999999995</v>
      </c>
      <c r="D54" s="33">
        <f t="shared" si="3"/>
        <v>0.66199999999999992</v>
      </c>
      <c r="E54" s="42">
        <f t="shared" si="3"/>
        <v>0.59099999999999997</v>
      </c>
      <c r="F54" s="42">
        <f t="shared" si="3"/>
        <v>0.56699999999999995</v>
      </c>
      <c r="G54" s="42">
        <f t="shared" si="3"/>
        <v>0.59499999999999997</v>
      </c>
      <c r="H54" s="32">
        <f t="shared" si="3"/>
        <v>0.59099999999999997</v>
      </c>
      <c r="I54" s="32">
        <f>I41-$K$47</f>
        <v>0.52299999999999991</v>
      </c>
      <c r="J54" s="32">
        <f t="shared" si="3"/>
        <v>0.54399999999999993</v>
      </c>
      <c r="K54" s="34">
        <f t="shared" si="3"/>
        <v>1.0999999999999996E-2</v>
      </c>
      <c r="L54" s="34">
        <f t="shared" si="3"/>
        <v>0.59699999999999998</v>
      </c>
      <c r="M54" s="34">
        <f t="shared" si="3"/>
        <v>0.64500000000000002</v>
      </c>
    </row>
    <row r="55" spans="1:13" x14ac:dyDescent="0.25">
      <c r="A55" s="5" t="s">
        <v>3</v>
      </c>
      <c r="B55" s="33">
        <f t="shared" si="3"/>
        <v>0.59099999999999997</v>
      </c>
      <c r="C55" s="33">
        <f t="shared" si="3"/>
        <v>0.68099999999999994</v>
      </c>
      <c r="D55" s="33">
        <f t="shared" si="3"/>
        <v>0.66699999999999993</v>
      </c>
      <c r="E55" s="42">
        <f t="shared" si="3"/>
        <v>0.57299999999999995</v>
      </c>
      <c r="F55" s="42">
        <f t="shared" si="3"/>
        <v>0.59199999999999997</v>
      </c>
      <c r="G55" s="42">
        <f t="shared" si="3"/>
        <v>0.55399999999999994</v>
      </c>
      <c r="H55" s="32">
        <f t="shared" si="3"/>
        <v>0.504</v>
      </c>
      <c r="I55" s="32">
        <f>I42-$K$47</f>
        <v>0.439</v>
      </c>
      <c r="J55" s="32">
        <f t="shared" si="3"/>
        <v>0.50900000000000001</v>
      </c>
      <c r="K55" s="34">
        <f t="shared" si="3"/>
        <v>3.7999999999999999E-2</v>
      </c>
      <c r="L55" s="34">
        <f t="shared" si="3"/>
        <v>0.42399999999999999</v>
      </c>
      <c r="M55" s="34">
        <f t="shared" si="3"/>
        <v>0.57699999999999996</v>
      </c>
    </row>
    <row r="56" spans="1:13" x14ac:dyDescent="0.25">
      <c r="A56" s="5" t="s">
        <v>4</v>
      </c>
      <c r="B56" s="33">
        <f t="shared" si="3"/>
        <v>0.66599999999999993</v>
      </c>
      <c r="C56" s="33">
        <f t="shared" si="3"/>
        <v>0.73199999999999998</v>
      </c>
      <c r="D56" s="33">
        <f t="shared" si="3"/>
        <v>0.61699999999999999</v>
      </c>
      <c r="E56" s="42">
        <f t="shared" si="3"/>
        <v>0.64999999999999991</v>
      </c>
      <c r="F56" s="42">
        <f t="shared" si="3"/>
        <v>0.56499999999999995</v>
      </c>
      <c r="G56" s="42">
        <f t="shared" si="3"/>
        <v>0.52200000000000002</v>
      </c>
      <c r="H56" s="32">
        <f t="shared" si="3"/>
        <v>0.46500000000000002</v>
      </c>
      <c r="I56" s="32">
        <f t="shared" si="3"/>
        <v>0.5149999999999999</v>
      </c>
      <c r="J56" s="32">
        <f t="shared" si="3"/>
        <v>0.60499999999999998</v>
      </c>
      <c r="K56" s="34">
        <f t="shared" si="3"/>
        <v>1.7999999999999995E-2</v>
      </c>
      <c r="L56" s="34">
        <f t="shared" si="3"/>
        <v>0.38600000000000001</v>
      </c>
      <c r="M56" s="34">
        <f t="shared" si="3"/>
        <v>0.41100000000000003</v>
      </c>
    </row>
    <row r="57" spans="1:13" x14ac:dyDescent="0.25">
      <c r="A57" s="5" t="s">
        <v>5</v>
      </c>
      <c r="B57" s="33">
        <f t="shared" si="3"/>
        <v>0.59599999999999997</v>
      </c>
      <c r="C57" s="33">
        <f t="shared" si="3"/>
        <v>0.41500000000000004</v>
      </c>
      <c r="D57" s="33">
        <f t="shared" si="3"/>
        <v>0.45500000000000002</v>
      </c>
      <c r="E57" s="42">
        <f t="shared" si="3"/>
        <v>0.33799999999999997</v>
      </c>
      <c r="F57" s="42">
        <f t="shared" si="3"/>
        <v>0.58299999999999996</v>
      </c>
      <c r="G57" s="42">
        <f t="shared" si="3"/>
        <v>0.47400000000000003</v>
      </c>
      <c r="H57" s="32">
        <f t="shared" si="3"/>
        <v>0.45200000000000001</v>
      </c>
      <c r="I57" s="32">
        <f t="shared" si="3"/>
        <v>0.39600000000000002</v>
      </c>
      <c r="J57" s="32">
        <f t="shared" si="3"/>
        <v>0.504</v>
      </c>
      <c r="K57" s="34">
        <f t="shared" si="3"/>
        <v>1.0000000000000002E-2</v>
      </c>
      <c r="L57" s="34">
        <f t="shared" si="3"/>
        <v>0.24399999999999997</v>
      </c>
      <c r="M57" s="34">
        <f t="shared" si="3"/>
        <v>0.182</v>
      </c>
    </row>
    <row r="58" spans="1:13" x14ac:dyDescent="0.25">
      <c r="A58" s="5" t="s">
        <v>6</v>
      </c>
      <c r="B58" s="33">
        <f t="shared" si="3"/>
        <v>0.60799999999999998</v>
      </c>
      <c r="C58" s="33">
        <f t="shared" si="3"/>
        <v>0.59300000000000008</v>
      </c>
      <c r="D58" s="33">
        <f t="shared" si="3"/>
        <v>0.74299999999999999</v>
      </c>
      <c r="E58" s="42">
        <f t="shared" si="3"/>
        <v>0.53099999999999992</v>
      </c>
      <c r="F58" s="42">
        <f t="shared" si="3"/>
        <v>0.59899999999999998</v>
      </c>
      <c r="G58" s="42">
        <f t="shared" si="3"/>
        <v>0.74399999999999999</v>
      </c>
      <c r="H58" s="32">
        <f t="shared" si="3"/>
        <v>0.627</v>
      </c>
      <c r="I58" s="32">
        <f t="shared" si="3"/>
        <v>0.58299999999999996</v>
      </c>
      <c r="J58" s="32">
        <f t="shared" si="3"/>
        <v>0.64999999999999991</v>
      </c>
      <c r="K58" s="36">
        <f t="shared" si="3"/>
        <v>0</v>
      </c>
      <c r="L58" s="34">
        <f t="shared" si="3"/>
        <v>0.156</v>
      </c>
      <c r="M58" s="34">
        <f t="shared" si="3"/>
        <v>0.127</v>
      </c>
    </row>
    <row r="59" spans="1:13" x14ac:dyDescent="0.25">
      <c r="A59" s="5" t="s">
        <v>7</v>
      </c>
      <c r="B59" s="33">
        <f t="shared" si="3"/>
        <v>0.45</v>
      </c>
      <c r="C59" s="33">
        <f t="shared" si="3"/>
        <v>0.52599999999999991</v>
      </c>
      <c r="D59" s="33">
        <f t="shared" si="3"/>
        <v>0.48100000000000004</v>
      </c>
      <c r="E59" s="42">
        <f t="shared" si="3"/>
        <v>0.435</v>
      </c>
      <c r="F59" s="42">
        <f t="shared" si="3"/>
        <v>0.32200000000000001</v>
      </c>
      <c r="G59" s="42">
        <f t="shared" si="3"/>
        <v>0.33400000000000002</v>
      </c>
      <c r="H59" s="32">
        <f t="shared" si="3"/>
        <v>0.59099999999999997</v>
      </c>
      <c r="I59" s="32">
        <f t="shared" si="3"/>
        <v>0.48499999999999999</v>
      </c>
      <c r="J59" s="32">
        <f t="shared" si="3"/>
        <v>0.61499999999999999</v>
      </c>
      <c r="K59" s="36">
        <f t="shared" si="3"/>
        <v>0</v>
      </c>
      <c r="L59" s="34">
        <f t="shared" si="3"/>
        <v>7.1000000000000008E-2</v>
      </c>
      <c r="M59" s="34">
        <f t="shared" si="3"/>
        <v>8.299999999999999E-2</v>
      </c>
    </row>
    <row r="60" spans="1:13" x14ac:dyDescent="0.25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1:13" x14ac:dyDescent="0.25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1:13" x14ac:dyDescent="0.25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1:13" x14ac:dyDescent="0.25">
      <c r="A63" s="24" t="s">
        <v>50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1:13" x14ac:dyDescent="0.25">
      <c r="A64" s="6"/>
      <c r="B64" s="8">
        <v>1</v>
      </c>
      <c r="C64" s="8">
        <v>2</v>
      </c>
      <c r="D64" s="8">
        <v>3</v>
      </c>
      <c r="E64" s="40">
        <v>4</v>
      </c>
      <c r="F64" s="40">
        <v>5</v>
      </c>
      <c r="G64" s="40">
        <v>6</v>
      </c>
      <c r="H64" s="7">
        <v>7</v>
      </c>
      <c r="I64" s="7">
        <v>8</v>
      </c>
      <c r="J64" s="7">
        <v>9</v>
      </c>
      <c r="K64" s="9">
        <v>10</v>
      </c>
      <c r="L64" s="9">
        <v>11</v>
      </c>
      <c r="M64" s="9">
        <v>12</v>
      </c>
    </row>
    <row r="65" spans="1:13" x14ac:dyDescent="0.25">
      <c r="A65" s="5" t="s">
        <v>0</v>
      </c>
      <c r="B65" s="58">
        <f>_xlfn.STDEV.S(B52:D52)</f>
        <v>0.11079861611650813</v>
      </c>
      <c r="C65" s="58"/>
      <c r="D65" s="58"/>
      <c r="E65" s="59">
        <f>_xlfn.STDEV.S(E52:G52)</f>
        <v>9.6795316691114922E-2</v>
      </c>
      <c r="F65" s="59"/>
      <c r="G65" s="59"/>
      <c r="H65" s="56">
        <f>_xlfn.STDEV.S(H52:J52)</f>
        <v>2.850146195080757E-2</v>
      </c>
      <c r="I65" s="56"/>
      <c r="J65" s="56"/>
      <c r="K65" s="27">
        <f>_xlfn.STDEV.S(K52,K55)</f>
        <v>0</v>
      </c>
      <c r="L65" s="57">
        <f>_xlfn.STDEV.S(L52:M52)</f>
        <v>2.1213203435596444E-2</v>
      </c>
      <c r="M65" s="57"/>
    </row>
    <row r="66" spans="1:13" x14ac:dyDescent="0.25">
      <c r="A66" s="5" t="s">
        <v>1</v>
      </c>
      <c r="B66" s="58">
        <f t="shared" ref="B66:B72" si="4">_xlfn.STDEV.S(B53:D53)</f>
        <v>3.0237945256470902E-2</v>
      </c>
      <c r="C66" s="58"/>
      <c r="D66" s="58"/>
      <c r="E66" s="59">
        <f t="shared" ref="E66:E72" si="5">_xlfn.STDEV.S(E53:G53)</f>
        <v>6.528654787422393E-2</v>
      </c>
      <c r="F66" s="59"/>
      <c r="G66" s="59"/>
      <c r="H66" s="56">
        <f t="shared" ref="H66:H72" si="6">_xlfn.STDEV.S(H53:J53)</f>
        <v>5.7951128835712358E-2</v>
      </c>
      <c r="I66" s="56"/>
      <c r="J66" s="56"/>
      <c r="K66" s="27">
        <f>_xlfn.STDEV.S(K53,K56)</f>
        <v>7.0710678118654328E-4</v>
      </c>
      <c r="L66" s="57">
        <f>_xlfn.STDEV.S(L53:M53)</f>
        <v>1.2727922061357866E-2</v>
      </c>
      <c r="M66" s="57"/>
    </row>
    <row r="67" spans="1:13" x14ac:dyDescent="0.25">
      <c r="A67" s="5" t="s">
        <v>2</v>
      </c>
      <c r="B67" s="58">
        <f t="shared" si="4"/>
        <v>5.030241876225567E-2</v>
      </c>
      <c r="C67" s="58"/>
      <c r="D67" s="58"/>
      <c r="E67" s="59">
        <f t="shared" si="5"/>
        <v>1.5143755588800743E-2</v>
      </c>
      <c r="F67" s="59"/>
      <c r="G67" s="59"/>
      <c r="H67" s="56">
        <f t="shared" si="6"/>
        <v>3.4818577416852278E-2</v>
      </c>
      <c r="I67" s="56"/>
      <c r="J67" s="56"/>
      <c r="K67" s="27">
        <f>_xlfn.STDEV.S(K54,K57)</f>
        <v>7.0710678118654328E-4</v>
      </c>
      <c r="L67" s="57">
        <f t="shared" ref="L67:L72" si="7">_xlfn.STDEV.S(L54:M54)</f>
        <v>3.3941125496954314E-2</v>
      </c>
      <c r="M67" s="57"/>
    </row>
    <row r="68" spans="1:13" x14ac:dyDescent="0.25">
      <c r="A68" s="5" t="s">
        <v>3</v>
      </c>
      <c r="B68" s="58">
        <f t="shared" si="4"/>
        <v>4.842864166310399E-2</v>
      </c>
      <c r="C68" s="58"/>
      <c r="D68" s="58"/>
      <c r="E68" s="59">
        <f t="shared" si="5"/>
        <v>1.9000000000000017E-2</v>
      </c>
      <c r="F68" s="59"/>
      <c r="G68" s="59"/>
      <c r="H68" s="56">
        <f t="shared" si="6"/>
        <v>3.9051248379533277E-2</v>
      </c>
      <c r="I68" s="56"/>
      <c r="J68" s="56"/>
      <c r="K68" s="27"/>
      <c r="L68" s="57">
        <f>_xlfn.STDEV.S(L55:M55)</f>
        <v>0.10818733752154232</v>
      </c>
      <c r="M68" s="57"/>
    </row>
    <row r="69" spans="1:13" x14ac:dyDescent="0.25">
      <c r="A69" s="5" t="s">
        <v>4</v>
      </c>
      <c r="B69" s="58">
        <f t="shared" si="4"/>
        <v>5.7709040308545533E-2</v>
      </c>
      <c r="C69" s="58"/>
      <c r="D69" s="58"/>
      <c r="E69" s="59">
        <f t="shared" si="5"/>
        <v>6.5138314377944984E-2</v>
      </c>
      <c r="F69" s="59"/>
      <c r="G69" s="59"/>
      <c r="H69" s="56">
        <f t="shared" si="6"/>
        <v>7.0945988845975874E-2</v>
      </c>
      <c r="I69" s="56"/>
      <c r="J69" s="56"/>
      <c r="K69" s="28"/>
      <c r="L69" s="57">
        <f t="shared" si="7"/>
        <v>1.7677669529663705E-2</v>
      </c>
      <c r="M69" s="57"/>
    </row>
    <row r="70" spans="1:13" x14ac:dyDescent="0.25">
      <c r="A70" s="5" t="s">
        <v>5</v>
      </c>
      <c r="B70" s="58">
        <f t="shared" si="4"/>
        <v>9.5080667505719904E-2</v>
      </c>
      <c r="C70" s="58"/>
      <c r="D70" s="58"/>
      <c r="E70" s="59">
        <f t="shared" si="5"/>
        <v>0.12274770873625299</v>
      </c>
      <c r="F70" s="59"/>
      <c r="G70" s="59"/>
      <c r="H70" s="56">
        <f t="shared" si="6"/>
        <v>5.4012344268077578E-2</v>
      </c>
      <c r="I70" s="56"/>
      <c r="J70" s="56"/>
      <c r="K70" s="28"/>
      <c r="L70" s="57">
        <f t="shared" si="7"/>
        <v>4.3840620433566187E-2</v>
      </c>
      <c r="M70" s="57"/>
    </row>
    <row r="71" spans="1:13" x14ac:dyDescent="0.25">
      <c r="A71" s="5" t="s">
        <v>6</v>
      </c>
      <c r="B71" s="58">
        <f t="shared" si="4"/>
        <v>8.2613558209292018E-2</v>
      </c>
      <c r="C71" s="58"/>
      <c r="D71" s="58"/>
      <c r="E71" s="59">
        <f t="shared" si="5"/>
        <v>0.10879491409681492</v>
      </c>
      <c r="F71" s="59"/>
      <c r="G71" s="59"/>
      <c r="H71" s="56">
        <f t="shared" si="6"/>
        <v>3.4044089061098383E-2</v>
      </c>
      <c r="I71" s="56"/>
      <c r="J71" s="56"/>
      <c r="K71" s="29"/>
      <c r="L71" s="57">
        <f t="shared" si="7"/>
        <v>2.0506096654409642E-2</v>
      </c>
      <c r="M71" s="57"/>
    </row>
    <row r="72" spans="1:13" x14ac:dyDescent="0.25">
      <c r="A72" s="5" t="s">
        <v>7</v>
      </c>
      <c r="B72" s="58">
        <f t="shared" si="4"/>
        <v>3.8214307966170591E-2</v>
      </c>
      <c r="C72" s="58"/>
      <c r="D72" s="58"/>
      <c r="E72" s="59">
        <f t="shared" si="5"/>
        <v>6.2067167917775772E-2</v>
      </c>
      <c r="F72" s="59"/>
      <c r="G72" s="59"/>
      <c r="H72" s="56">
        <f t="shared" si="6"/>
        <v>6.9176103773870734E-2</v>
      </c>
      <c r="I72" s="56"/>
      <c r="J72" s="56"/>
      <c r="K72" s="29"/>
      <c r="L72" s="57">
        <f t="shared" si="7"/>
        <v>8.4852813742385576E-3</v>
      </c>
      <c r="M72" s="57"/>
    </row>
  </sheetData>
  <mergeCells count="33">
    <mergeCell ref="A1:M1"/>
    <mergeCell ref="B65:D65"/>
    <mergeCell ref="B66:D66"/>
    <mergeCell ref="B67:D67"/>
    <mergeCell ref="B68:D68"/>
    <mergeCell ref="H65:J65"/>
    <mergeCell ref="L65:M65"/>
    <mergeCell ref="H66:J66"/>
    <mergeCell ref="H67:J67"/>
    <mergeCell ref="H68:J68"/>
    <mergeCell ref="B69:D69"/>
    <mergeCell ref="B70:D70"/>
    <mergeCell ref="B71:D71"/>
    <mergeCell ref="B72:D72"/>
    <mergeCell ref="E65:G65"/>
    <mergeCell ref="E66:G66"/>
    <mergeCell ref="E67:G67"/>
    <mergeCell ref="E68:G68"/>
    <mergeCell ref="E69:G69"/>
    <mergeCell ref="E70:G70"/>
    <mergeCell ref="E71:G71"/>
    <mergeCell ref="E72:G72"/>
    <mergeCell ref="H69:J69"/>
    <mergeCell ref="H70:J70"/>
    <mergeCell ref="H71:J71"/>
    <mergeCell ref="H72:J72"/>
    <mergeCell ref="L66:M66"/>
    <mergeCell ref="L67:M67"/>
    <mergeCell ref="L68:M68"/>
    <mergeCell ref="L69:M69"/>
    <mergeCell ref="L70:M70"/>
    <mergeCell ref="L71:M71"/>
    <mergeCell ref="L72:M72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activeCell="I25" sqref="I25"/>
    </sheetView>
  </sheetViews>
  <sheetFormatPr baseColWidth="10" defaultRowHeight="15" x14ac:dyDescent="0.25"/>
  <cols>
    <col min="1" max="1" width="21.42578125" customWidth="1"/>
    <col min="2" max="2" width="22.28515625" customWidth="1"/>
  </cols>
  <sheetData>
    <row r="1" spans="1:13" x14ac:dyDescent="0.25">
      <c r="A1" s="61" t="str">
        <f>absorbances!A1</f>
        <v>PLAQUE TEST DILUTION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</row>
    <row r="2" spans="1:13" x14ac:dyDescent="0.25">
      <c r="A2" s="13" t="s">
        <v>14</v>
      </c>
      <c r="B2" s="13" t="s">
        <v>27</v>
      </c>
      <c r="F2" s="12" t="s">
        <v>15</v>
      </c>
    </row>
    <row r="3" spans="1:13" x14ac:dyDescent="0.25">
      <c r="A3">
        <f>AVERAGE(absorbances!L52:M52)</f>
        <v>0.77799999999999991</v>
      </c>
      <c r="B3">
        <v>50</v>
      </c>
      <c r="F3">
        <v>0.13919999999999999</v>
      </c>
      <c r="G3">
        <v>7.5601000000000003</v>
      </c>
    </row>
    <row r="4" spans="1:13" x14ac:dyDescent="0.25">
      <c r="A4">
        <f>AVERAGE(absorbances!L53:M53)</f>
        <v>0.72299999999999998</v>
      </c>
      <c r="B4">
        <f>B3/2</f>
        <v>25</v>
      </c>
    </row>
    <row r="5" spans="1:13" x14ac:dyDescent="0.25">
      <c r="A5">
        <f>AVERAGE(absorbances!L54:M54)</f>
        <v>0.621</v>
      </c>
      <c r="B5">
        <f t="shared" ref="B5:B13" si="0">B4/2</f>
        <v>12.5</v>
      </c>
      <c r="F5" s="12" t="s">
        <v>17</v>
      </c>
    </row>
    <row r="6" spans="1:13" x14ac:dyDescent="0.25">
      <c r="A6">
        <f>AVERAGE(absorbances!L55:M55)</f>
        <v>0.50049999999999994</v>
      </c>
      <c r="B6">
        <f>B5/2</f>
        <v>6.25</v>
      </c>
      <c r="F6">
        <f>2*275/15</f>
        <v>36.666666666666664</v>
      </c>
    </row>
    <row r="7" spans="1:13" x14ac:dyDescent="0.25">
      <c r="A7">
        <f>AVERAGE(absorbances!L56:M56)</f>
        <v>0.39850000000000002</v>
      </c>
      <c r="B7">
        <f t="shared" si="0"/>
        <v>3.125</v>
      </c>
      <c r="F7">
        <f>2*(275/9)</f>
        <v>61.111111111111114</v>
      </c>
    </row>
    <row r="8" spans="1:13" x14ac:dyDescent="0.25">
      <c r="A8">
        <f>AVERAGE(absorbances!L57:M57)</f>
        <v>0.21299999999999997</v>
      </c>
      <c r="B8">
        <f t="shared" si="0"/>
        <v>1.5625</v>
      </c>
      <c r="F8">
        <f>2*(275/5)</f>
        <v>110</v>
      </c>
    </row>
    <row r="9" spans="1:13" x14ac:dyDescent="0.25">
      <c r="A9">
        <f>AVERAGE(absorbances!L58:M58)</f>
        <v>0.14150000000000001</v>
      </c>
      <c r="B9">
        <f t="shared" si="0"/>
        <v>0.78125</v>
      </c>
    </row>
    <row r="10" spans="1:13" x14ac:dyDescent="0.25">
      <c r="A10">
        <f>AVERAGE(absorbances!L59:M59)</f>
        <v>7.6999999999999999E-2</v>
      </c>
      <c r="B10">
        <f t="shared" si="0"/>
        <v>0.390625</v>
      </c>
    </row>
    <row r="11" spans="1:13" x14ac:dyDescent="0.25">
      <c r="A11">
        <f>AVERAGE(absorbances!K52:K55)</f>
        <v>2.6000000000000002E-2</v>
      </c>
      <c r="B11">
        <f t="shared" si="0"/>
        <v>0.1953125</v>
      </c>
    </row>
    <row r="12" spans="1:13" x14ac:dyDescent="0.25">
      <c r="A12">
        <f>AVERAGE(absorbances!K53:K56)</f>
        <v>2.0999999999999998E-2</v>
      </c>
      <c r="B12">
        <f t="shared" si="0"/>
        <v>9.765625E-2</v>
      </c>
    </row>
    <row r="13" spans="1:13" x14ac:dyDescent="0.25">
      <c r="A13">
        <f>AVERAGE(absorbances!K54:K57)</f>
        <v>1.9249999999999996E-2</v>
      </c>
      <c r="B13">
        <f t="shared" si="0"/>
        <v>4.8828125E-2</v>
      </c>
    </row>
  </sheetData>
  <mergeCells count="1">
    <mergeCell ref="A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2" sqref="F2"/>
    </sheetView>
  </sheetViews>
  <sheetFormatPr baseColWidth="10" defaultRowHeight="15" x14ac:dyDescent="0.25"/>
  <cols>
    <col min="1" max="3" width="20.85546875" customWidth="1"/>
    <col min="4" max="4" width="29.28515625" customWidth="1"/>
    <col min="5" max="5" width="29" customWidth="1"/>
  </cols>
  <sheetData>
    <row r="1" spans="1:7" x14ac:dyDescent="0.25">
      <c r="A1" s="25" t="s">
        <v>20</v>
      </c>
      <c r="B1" s="25" t="s">
        <v>26</v>
      </c>
      <c r="C1" s="25" t="s">
        <v>21</v>
      </c>
      <c r="D1" s="25" t="s">
        <v>22</v>
      </c>
      <c r="E1" s="16" t="s">
        <v>23</v>
      </c>
      <c r="F1" s="16" t="s">
        <v>48</v>
      </c>
    </row>
    <row r="2" spans="1:7" x14ac:dyDescent="0.25">
      <c r="A2" s="6">
        <v>1</v>
      </c>
      <c r="B2" s="6" t="str">
        <f>absorbances!B5</f>
        <v>NCHA100079_FA-1</v>
      </c>
      <c r="C2" s="45">
        <v>1.1924999999999999</v>
      </c>
      <c r="D2" s="45">
        <v>1.2015</v>
      </c>
      <c r="E2" s="46">
        <f>D2-C2</f>
        <v>9.000000000000119E-3</v>
      </c>
      <c r="F2" s="47" t="str">
        <f>absorbances!A1</f>
        <v>PLAQUE TEST DILUTION</v>
      </c>
      <c r="G2" s="45"/>
    </row>
    <row r="3" spans="1:7" x14ac:dyDescent="0.25">
      <c r="A3" s="6">
        <f>A2+1</f>
        <v>2</v>
      </c>
      <c r="B3" s="6" t="str">
        <f>absorbances!B6</f>
        <v>NCHA100091_FA-1</v>
      </c>
      <c r="C3" s="45">
        <v>1.2202</v>
      </c>
      <c r="D3" s="45">
        <v>1.2262999999999999</v>
      </c>
      <c r="E3" s="46">
        <f t="shared" ref="E3:E9" si="0">D3-C3</f>
        <v>6.0999999999999943E-3</v>
      </c>
      <c r="F3" s="47" t="str">
        <f>absorbances!A1</f>
        <v>PLAQUE TEST DILUTION</v>
      </c>
      <c r="G3" s="45"/>
    </row>
    <row r="4" spans="1:7" x14ac:dyDescent="0.25">
      <c r="A4" s="6">
        <f t="shared" ref="A4:A9" si="1">A3+1</f>
        <v>3</v>
      </c>
      <c r="B4" s="6" t="str">
        <f>absorbances!B7</f>
        <v>NCHA100096_FA-1</v>
      </c>
      <c r="C4" s="45">
        <v>1.1882999999999999</v>
      </c>
      <c r="D4" s="45">
        <v>1.2025999999999999</v>
      </c>
      <c r="E4" s="46">
        <f t="shared" si="0"/>
        <v>1.4299999999999979E-2</v>
      </c>
      <c r="F4" s="47" t="str">
        <f>absorbances!A1</f>
        <v>PLAQUE TEST DILUTION</v>
      </c>
      <c r="G4" s="45"/>
    </row>
    <row r="5" spans="1:7" x14ac:dyDescent="0.25">
      <c r="A5" s="6">
        <f t="shared" si="1"/>
        <v>4</v>
      </c>
      <c r="B5" s="6" t="str">
        <f>absorbances!B8</f>
        <v>NCHA100099_FA-1</v>
      </c>
      <c r="C5" s="45">
        <v>1.2202999999999999</v>
      </c>
      <c r="D5" s="45">
        <v>1.2349000000000001</v>
      </c>
      <c r="E5" s="46">
        <f t="shared" si="0"/>
        <v>1.4600000000000168E-2</v>
      </c>
      <c r="F5" s="47" t="str">
        <f>absorbances!A1</f>
        <v>PLAQUE TEST DILUTION</v>
      </c>
      <c r="G5" s="45"/>
    </row>
    <row r="6" spans="1:7" x14ac:dyDescent="0.25">
      <c r="A6" s="6">
        <f t="shared" si="1"/>
        <v>5</v>
      </c>
      <c r="B6" s="6" t="str">
        <f>absorbances!B9</f>
        <v>NCHA100245_FA-1</v>
      </c>
      <c r="C6" s="45">
        <v>1.2034</v>
      </c>
      <c r="D6" s="45">
        <v>1.2065999999999999</v>
      </c>
      <c r="E6" s="46">
        <f t="shared" si="0"/>
        <v>3.1999999999998696E-3</v>
      </c>
      <c r="F6" s="47" t="str">
        <f>absorbances!A1</f>
        <v>PLAQUE TEST DILUTION</v>
      </c>
      <c r="G6" s="45"/>
    </row>
    <row r="7" spans="1:7" x14ac:dyDescent="0.25">
      <c r="A7" s="6">
        <f t="shared" si="1"/>
        <v>6</v>
      </c>
      <c r="B7" s="6" t="str">
        <f>absorbances!B10</f>
        <v>NCHA100246_FA-1</v>
      </c>
      <c r="C7" s="45">
        <v>1.202</v>
      </c>
      <c r="D7" s="45">
        <v>1.2045999999999999</v>
      </c>
      <c r="E7" s="46">
        <f t="shared" si="0"/>
        <v>2.5999999999999357E-3</v>
      </c>
      <c r="F7" s="47" t="str">
        <f>absorbances!A1</f>
        <v>PLAQUE TEST DILUTION</v>
      </c>
      <c r="G7" s="45"/>
    </row>
    <row r="8" spans="1:7" x14ac:dyDescent="0.25">
      <c r="A8" s="6">
        <f t="shared" si="1"/>
        <v>7</v>
      </c>
      <c r="B8" s="6" t="str">
        <f>absorbances!B11</f>
        <v>NCHA100247_FA-1</v>
      </c>
      <c r="C8" s="45">
        <v>1.2039</v>
      </c>
      <c r="D8" s="45">
        <v>1.2144999999999999</v>
      </c>
      <c r="E8" s="46">
        <f t="shared" si="0"/>
        <v>1.0599999999999943E-2</v>
      </c>
      <c r="F8" s="47" t="str">
        <f>absorbances!A1</f>
        <v>PLAQUE TEST DILUTION</v>
      </c>
      <c r="G8" s="45"/>
    </row>
    <row r="9" spans="1:7" x14ac:dyDescent="0.25">
      <c r="A9" s="6">
        <f t="shared" si="1"/>
        <v>8</v>
      </c>
      <c r="B9" s="6" t="str">
        <f>absorbances!B12</f>
        <v>NCHA100249_FA-1</v>
      </c>
      <c r="C9" s="45">
        <v>1.1879</v>
      </c>
      <c r="D9" s="45">
        <v>1.1957</v>
      </c>
      <c r="E9" s="46">
        <f t="shared" si="0"/>
        <v>7.8000000000000291E-3</v>
      </c>
      <c r="F9" s="47" t="str">
        <f>absorbances!A1</f>
        <v>PLAQUE TEST DILUTION</v>
      </c>
      <c r="G9" s="4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zoomScale="85" zoomScaleNormal="85" workbookViewId="0">
      <pane ySplit="1" topLeftCell="A68" activePane="bottomLeft" state="frozen"/>
      <selection pane="bottomLeft" activeCell="J109" sqref="J109"/>
    </sheetView>
  </sheetViews>
  <sheetFormatPr baseColWidth="10" defaultColWidth="16.7109375" defaultRowHeight="15" x14ac:dyDescent="0.25"/>
  <cols>
    <col min="6" max="6" width="25.28515625" customWidth="1"/>
  </cols>
  <sheetData>
    <row r="1" spans="1:12" x14ac:dyDescent="0.25">
      <c r="A1" s="17" t="s">
        <v>26</v>
      </c>
      <c r="B1" s="17" t="s">
        <v>12</v>
      </c>
      <c r="C1" s="17" t="s">
        <v>13</v>
      </c>
      <c r="D1" s="17"/>
      <c r="E1" s="17" t="s">
        <v>16</v>
      </c>
      <c r="F1" s="17" t="s">
        <v>18</v>
      </c>
      <c r="G1" s="17" t="s">
        <v>19</v>
      </c>
      <c r="H1" s="18"/>
      <c r="I1" s="17" t="s">
        <v>24</v>
      </c>
      <c r="J1" s="17" t="s">
        <v>25</v>
      </c>
      <c r="K1" s="17" t="s">
        <v>49</v>
      </c>
      <c r="L1" s="17" t="s">
        <v>48</v>
      </c>
    </row>
    <row r="2" spans="1:12" x14ac:dyDescent="0.25">
      <c r="A2" s="48" t="str">
        <f>absorbances!B5</f>
        <v>NCHA100079_FA-1</v>
      </c>
      <c r="B2" s="48" t="str">
        <f>LEFT(A2,FIND("_",A2)-1)</f>
        <v>NCHA100079</v>
      </c>
      <c r="C2" s="48">
        <f>AVERAGE(absorbances!B52:D52)</f>
        <v>0.70466666666666666</v>
      </c>
      <c r="D2" s="48"/>
      <c r="E2" s="49">
        <f>courbe_etalon!$F$3*EXP((courbe_etalon!$G$3*quantification!C2))</f>
        <v>28.660129348168926</v>
      </c>
      <c r="F2" s="48">
        <f>E2*courbe_etalon!$F$6</f>
        <v>1050.8714094328604</v>
      </c>
      <c r="G2" s="48">
        <f>F2/1000</f>
        <v>1.0508714094328604</v>
      </c>
      <c r="H2" s="48"/>
      <c r="I2" s="48">
        <f>G2*15/1000</f>
        <v>1.5763071141492908E-2</v>
      </c>
      <c r="J2" s="48">
        <f>I2/poids!E2</f>
        <v>1.7514523490547445</v>
      </c>
      <c r="K2" s="48">
        <f>J2*1000</f>
        <v>1751.4523490547444</v>
      </c>
      <c r="L2" s="48" t="str">
        <f>poids!F2</f>
        <v>PLAQUE TEST DILUTION</v>
      </c>
    </row>
    <row r="3" spans="1:12" x14ac:dyDescent="0.25">
      <c r="A3" s="48" t="str">
        <f>absorbances!B6</f>
        <v>NCHA100091_FA-1</v>
      </c>
      <c r="B3" s="48" t="str">
        <f t="shared" ref="B3:B25" si="0">LEFT(A3,FIND("_",A3)-1)</f>
        <v>NCHA100091</v>
      </c>
      <c r="C3" s="48">
        <f>AVERAGE(absorbances!B53:D53)</f>
        <v>0.69833333333333325</v>
      </c>
      <c r="D3" s="48"/>
      <c r="E3" s="49">
        <f>courbe_etalon!$F$3*EXP((courbe_etalon!$G$3*quantification!C3))</f>
        <v>27.320198550158132</v>
      </c>
      <c r="F3" s="48">
        <f>E3*courbe_etalon!$F$6</f>
        <v>1001.7406135057981</v>
      </c>
      <c r="G3" s="48">
        <f t="shared" ref="G3:G25" si="1">F3/1000</f>
        <v>1.0017406135057982</v>
      </c>
      <c r="H3" s="48"/>
      <c r="I3" s="48">
        <f>G3*15/1000</f>
        <v>1.5026109202586973E-2</v>
      </c>
      <c r="J3" s="48">
        <f>I3/poids!E3</f>
        <v>2.4632965905880306</v>
      </c>
      <c r="K3" s="48">
        <f t="shared" ref="K3:K25" si="2">J3*1000</f>
        <v>2463.2965905880305</v>
      </c>
      <c r="L3" s="48" t="str">
        <f>poids!F3</f>
        <v>PLAQUE TEST DILUTION</v>
      </c>
    </row>
    <row r="4" spans="1:12" x14ac:dyDescent="0.25">
      <c r="A4" s="48" t="str">
        <f>absorbances!B7</f>
        <v>NCHA100096_FA-1</v>
      </c>
      <c r="B4" s="48" t="str">
        <f t="shared" si="0"/>
        <v>NCHA100096</v>
      </c>
      <c r="C4" s="48">
        <f>AVERAGE(absorbances!B54:D54)</f>
        <v>0.65166666666666662</v>
      </c>
      <c r="D4" s="48"/>
      <c r="E4" s="49">
        <f>courbe_etalon!$F$3*EXP((courbe_etalon!$G$3*quantification!C4))</f>
        <v>19.198298121212673</v>
      </c>
      <c r="F4" s="48">
        <f>E4*courbe_etalon!$F$6</f>
        <v>703.93759777779792</v>
      </c>
      <c r="G4" s="48">
        <f t="shared" si="1"/>
        <v>0.70393759777779796</v>
      </c>
      <c r="H4" s="48"/>
      <c r="I4" s="48">
        <f>G4*15/1000</f>
        <v>1.0559063966666969E-2</v>
      </c>
      <c r="J4" s="48">
        <f>I4/poids!E4</f>
        <v>0.73839608158510384</v>
      </c>
      <c r="K4" s="48">
        <f t="shared" si="2"/>
        <v>738.39608158510384</v>
      </c>
      <c r="L4" s="48" t="str">
        <f>poids!F4</f>
        <v>PLAQUE TEST DILUTION</v>
      </c>
    </row>
    <row r="5" spans="1:12" x14ac:dyDescent="0.25">
      <c r="A5" s="48" t="str">
        <f>absorbances!B8</f>
        <v>NCHA100099_FA-1</v>
      </c>
      <c r="B5" s="48" t="str">
        <f t="shared" si="0"/>
        <v>NCHA100099</v>
      </c>
      <c r="C5" s="48">
        <f>AVERAGE(absorbances!B55:D55)</f>
        <v>0.6463333333333332</v>
      </c>
      <c r="D5" s="48"/>
      <c r="E5" s="49">
        <f>courbe_etalon!$F$3*EXP((courbe_etalon!$G$3*quantification!C5))</f>
        <v>18.439610627340347</v>
      </c>
      <c r="F5" s="48">
        <f>E5*courbe_etalon!$F$6</f>
        <v>676.11905633581273</v>
      </c>
      <c r="G5" s="48">
        <f t="shared" si="1"/>
        <v>0.67611905633581271</v>
      </c>
      <c r="H5" s="48"/>
      <c r="I5" s="48">
        <f>G5*15/1000</f>
        <v>1.0141785845037192E-2</v>
      </c>
      <c r="J5" s="48">
        <f>I5/poids!E5</f>
        <v>0.69464286609842973</v>
      </c>
      <c r="K5" s="48">
        <f t="shared" si="2"/>
        <v>694.64286609842975</v>
      </c>
      <c r="L5" s="48" t="str">
        <f>poids!F5</f>
        <v>PLAQUE TEST DILUTION</v>
      </c>
    </row>
    <row r="6" spans="1:12" x14ac:dyDescent="0.25">
      <c r="A6" s="48" t="str">
        <f>absorbances!B9</f>
        <v>NCHA100245_FA-1</v>
      </c>
      <c r="B6" s="48" t="str">
        <f t="shared" si="0"/>
        <v>NCHA100245</v>
      </c>
      <c r="C6" s="48">
        <f>AVERAGE(absorbances!B56:D56)</f>
        <v>0.67166666666666652</v>
      </c>
      <c r="D6" s="48"/>
      <c r="E6" s="49">
        <f>courbe_etalon!$F$3*EXP((courbe_etalon!$G$3*quantification!C6))</f>
        <v>22.332067177810579</v>
      </c>
      <c r="F6" s="48">
        <f>E6*courbe_etalon!$F$6</f>
        <v>818.84246318638782</v>
      </c>
      <c r="G6" s="48">
        <f t="shared" si="1"/>
        <v>0.81884246318638787</v>
      </c>
      <c r="H6" s="48"/>
      <c r="I6" s="48">
        <f>G6*15/1000</f>
        <v>1.2282636947795819E-2</v>
      </c>
      <c r="J6" s="48">
        <f>I6/poids!E6</f>
        <v>3.8383240461863499</v>
      </c>
      <c r="K6" s="48">
        <f t="shared" si="2"/>
        <v>3838.3240461863497</v>
      </c>
      <c r="L6" s="48" t="str">
        <f>poids!F6</f>
        <v>PLAQUE TEST DILUTION</v>
      </c>
    </row>
    <row r="7" spans="1:12" x14ac:dyDescent="0.25">
      <c r="A7" s="48" t="str">
        <f>absorbances!B10</f>
        <v>NCHA100246_FA-1</v>
      </c>
      <c r="B7" s="48" t="str">
        <f t="shared" si="0"/>
        <v>NCHA100246</v>
      </c>
      <c r="C7" s="48">
        <f>AVERAGE(absorbances!B57:D57)</f>
        <v>0.48866666666666675</v>
      </c>
      <c r="D7" s="48"/>
      <c r="E7" s="49">
        <f>courbe_etalon!$F$3*EXP((courbe_etalon!$G$3*quantification!C7))</f>
        <v>5.5986490948926715</v>
      </c>
      <c r="F7" s="48">
        <f>E7*courbe_etalon!$F$6</f>
        <v>205.28380014606461</v>
      </c>
      <c r="G7" s="48">
        <f t="shared" si="1"/>
        <v>0.20528380014606459</v>
      </c>
      <c r="H7" s="48"/>
      <c r="I7" s="48">
        <f t="shared" ref="I7:I25" si="3">G7*15/1000</f>
        <v>3.0792570021909689E-3</v>
      </c>
      <c r="J7" s="48">
        <f>I7/poids!E7</f>
        <v>1.1843296162273251</v>
      </c>
      <c r="K7" s="48">
        <f t="shared" si="2"/>
        <v>1184.3296162273252</v>
      </c>
      <c r="L7" s="48" t="str">
        <f>poids!F7</f>
        <v>PLAQUE TEST DILUTION</v>
      </c>
    </row>
    <row r="8" spans="1:12" x14ac:dyDescent="0.25">
      <c r="A8" s="48" t="str">
        <f>absorbances!B11</f>
        <v>NCHA100247_FA-1</v>
      </c>
      <c r="B8" s="48" t="str">
        <f t="shared" si="0"/>
        <v>NCHA100247</v>
      </c>
      <c r="C8" s="48">
        <f>AVERAGE(absorbances!B58:D58)</f>
        <v>0.64800000000000002</v>
      </c>
      <c r="D8" s="48"/>
      <c r="E8" s="49">
        <f>courbe_etalon!$F$3*EXP((courbe_etalon!$G$3*quantification!C8))</f>
        <v>18.673422736879878</v>
      </c>
      <c r="F8" s="48">
        <f>E8*courbe_etalon!$F$6</f>
        <v>684.69216701892879</v>
      </c>
      <c r="G8" s="48">
        <f t="shared" si="1"/>
        <v>0.68469216701892877</v>
      </c>
      <c r="H8" s="48"/>
      <c r="I8" s="48">
        <f t="shared" si="3"/>
        <v>1.0270382505283933E-2</v>
      </c>
      <c r="J8" s="48">
        <f>I8/poids!E8</f>
        <v>0.96890400993245174</v>
      </c>
      <c r="K8" s="48">
        <f t="shared" si="2"/>
        <v>968.90400993245169</v>
      </c>
      <c r="L8" s="48" t="str">
        <f>poids!F8</f>
        <v>PLAQUE TEST DILUTION</v>
      </c>
    </row>
    <row r="9" spans="1:12" x14ac:dyDescent="0.25">
      <c r="A9" s="48" t="str">
        <f>absorbances!B12</f>
        <v>NCHA100249_FA-1</v>
      </c>
      <c r="B9" s="48" t="str">
        <f t="shared" si="0"/>
        <v>NCHA100249</v>
      </c>
      <c r="C9" s="48">
        <f>AVERAGE(absorbances!B59:D59)</f>
        <v>0.48566666666666669</v>
      </c>
      <c r="D9" s="48"/>
      <c r="E9" s="49">
        <f>courbe_etalon!$F$3*EXP((courbe_etalon!$G$3*quantification!C9))</f>
        <v>5.4730991903932837</v>
      </c>
      <c r="F9" s="48">
        <f>E9*courbe_etalon!$F$6</f>
        <v>200.68030364775373</v>
      </c>
      <c r="G9" s="48">
        <f t="shared" si="1"/>
        <v>0.20068030364775374</v>
      </c>
      <c r="H9" s="48"/>
      <c r="I9" s="48">
        <f t="shared" si="3"/>
        <v>3.0102045547163061E-3</v>
      </c>
      <c r="J9" s="48">
        <f>I9/poids!E9</f>
        <v>0.38592366086106344</v>
      </c>
      <c r="K9" s="48">
        <f t="shared" si="2"/>
        <v>385.92366086106347</v>
      </c>
      <c r="L9" s="48" t="str">
        <f>poids!F9</f>
        <v>PLAQUE TEST DILUTION</v>
      </c>
    </row>
    <row r="10" spans="1:12" x14ac:dyDescent="0.25">
      <c r="A10" s="13" t="str">
        <f>absorbances!E5</f>
        <v>NCHA100079_FA-1</v>
      </c>
      <c r="B10" s="13" t="str">
        <f t="shared" si="0"/>
        <v>NCHA100079</v>
      </c>
      <c r="C10" s="13">
        <f>AVERAGE(absorbances!E52:G52)</f>
        <v>0.59266666666666667</v>
      </c>
      <c r="D10" s="13"/>
      <c r="E10" s="50">
        <f>courbe_etalon!$F$3*EXP((courbe_etalon!$G$3*quantification!C10))</f>
        <v>12.289874790202694</v>
      </c>
      <c r="F10" s="13">
        <f>E10*courbe_etalon!$F$7</f>
        <v>751.04790384572016</v>
      </c>
      <c r="G10" s="13">
        <f t="shared" si="1"/>
        <v>0.75104790384572018</v>
      </c>
      <c r="H10" s="13"/>
      <c r="I10" s="13">
        <f t="shared" si="3"/>
        <v>1.1265718557685803E-2</v>
      </c>
      <c r="J10" s="13">
        <f>I10/poids!E2</f>
        <v>1.251746506409517</v>
      </c>
      <c r="K10" s="13">
        <f t="shared" si="2"/>
        <v>1251.746506409517</v>
      </c>
      <c r="L10" s="13" t="str">
        <f>poids!F2</f>
        <v>PLAQUE TEST DILUTION</v>
      </c>
    </row>
    <row r="11" spans="1:12" x14ac:dyDescent="0.25">
      <c r="A11" s="13" t="str">
        <f>absorbances!E6</f>
        <v>NCHA100091_FA-1</v>
      </c>
      <c r="B11" s="13" t="str">
        <f t="shared" si="0"/>
        <v>NCHA100091</v>
      </c>
      <c r="C11" s="13">
        <f>AVERAGE(absorbances!E53:G53)</f>
        <v>0.66233333333333333</v>
      </c>
      <c r="D11" s="13"/>
      <c r="E11" s="50">
        <f>courbe_etalon!$F$3*EXP((courbe_etalon!$G$3*quantification!C11))</f>
        <v>20.810604785802749</v>
      </c>
      <c r="F11" s="13">
        <f>E11*courbe_etalon!$F$7</f>
        <v>1271.7591813546126</v>
      </c>
      <c r="G11" s="13">
        <f t="shared" si="1"/>
        <v>1.2717591813546125</v>
      </c>
      <c r="H11" s="13"/>
      <c r="I11" s="13">
        <f t="shared" si="3"/>
        <v>1.907638772031919E-2</v>
      </c>
      <c r="J11" s="13">
        <f>I11/poids!E3</f>
        <v>3.127276675462165</v>
      </c>
      <c r="K11" s="13">
        <f t="shared" si="2"/>
        <v>3127.2766754621653</v>
      </c>
      <c r="L11" s="13" t="str">
        <f>poids!F3</f>
        <v>PLAQUE TEST DILUTION</v>
      </c>
    </row>
    <row r="12" spans="1:12" x14ac:dyDescent="0.25">
      <c r="A12" s="13" t="str">
        <f>absorbances!E7</f>
        <v>NCHA100096_FA-1</v>
      </c>
      <c r="B12" s="13" t="str">
        <f t="shared" si="0"/>
        <v>NCHA100096</v>
      </c>
      <c r="C12" s="13">
        <f>AVERAGE(absorbances!E54:G54)</f>
        <v>0.58433333333333326</v>
      </c>
      <c r="D12" s="13"/>
      <c r="E12" s="50">
        <f>courbe_etalon!$F$3*EXP((courbe_etalon!$G$3*quantification!C12))</f>
        <v>11.539488110473313</v>
      </c>
      <c r="F12" s="13">
        <f>E12*courbe_etalon!$F$7</f>
        <v>705.1909400844803</v>
      </c>
      <c r="G12" s="13">
        <f t="shared" si="1"/>
        <v>0.70519094008448036</v>
      </c>
      <c r="H12" s="13"/>
      <c r="I12" s="13">
        <f t="shared" si="3"/>
        <v>1.0577864101267206E-2</v>
      </c>
      <c r="J12" s="13">
        <f>I12/poids!E4</f>
        <v>0.73971077631239313</v>
      </c>
      <c r="K12" s="13">
        <f t="shared" si="2"/>
        <v>739.71077631239314</v>
      </c>
      <c r="L12" s="13" t="str">
        <f>poids!F4</f>
        <v>PLAQUE TEST DILUTION</v>
      </c>
    </row>
    <row r="13" spans="1:12" x14ac:dyDescent="0.25">
      <c r="A13" s="13" t="str">
        <f>absorbances!E8</f>
        <v>NCHA100099_FA-1</v>
      </c>
      <c r="B13" s="13" t="str">
        <f t="shared" si="0"/>
        <v>NCHA100099</v>
      </c>
      <c r="C13" s="13">
        <f>AVERAGE(absorbances!E55:G55)</f>
        <v>0.57299999999999995</v>
      </c>
      <c r="D13" s="13"/>
      <c r="E13" s="50">
        <f>courbe_etalon!$F$3*EXP((courbe_etalon!$G$3*quantification!C13))</f>
        <v>10.591944601056502</v>
      </c>
      <c r="F13" s="13">
        <f>E13*courbe_etalon!$F$7</f>
        <v>647.2855033978974</v>
      </c>
      <c r="G13" s="13">
        <f t="shared" si="1"/>
        <v>0.64728550339789737</v>
      </c>
      <c r="H13" s="13"/>
      <c r="I13" s="13">
        <f t="shared" si="3"/>
        <v>9.7092825509684597E-3</v>
      </c>
      <c r="J13" s="13">
        <f>I13/poids!E5</f>
        <v>0.66501935280605118</v>
      </c>
      <c r="K13" s="13">
        <f t="shared" si="2"/>
        <v>665.01935280605119</v>
      </c>
      <c r="L13" s="13" t="str">
        <f>poids!F5</f>
        <v>PLAQUE TEST DILUTION</v>
      </c>
    </row>
    <row r="14" spans="1:12" x14ac:dyDescent="0.25">
      <c r="A14" s="13" t="str">
        <f>absorbances!E9</f>
        <v>NCHA100245_FA-1</v>
      </c>
      <c r="B14" s="13" t="str">
        <f t="shared" si="0"/>
        <v>NCHA100245</v>
      </c>
      <c r="C14" s="13">
        <f>AVERAGE(absorbances!E56:G56)</f>
        <v>0.57899999999999996</v>
      </c>
      <c r="D14" s="13"/>
      <c r="E14" s="50">
        <f>courbe_etalon!$F$3*EXP((courbe_etalon!$G$3*quantification!C14))</f>
        <v>11.08346512031925</v>
      </c>
      <c r="F14" s="13">
        <f>E14*courbe_etalon!$F$7</f>
        <v>677.32286846395425</v>
      </c>
      <c r="G14" s="13">
        <f t="shared" si="1"/>
        <v>0.67732286846395429</v>
      </c>
      <c r="H14" s="13"/>
      <c r="I14" s="13">
        <f t="shared" si="3"/>
        <v>1.0159843026959315E-2</v>
      </c>
      <c r="J14" s="13">
        <f>I14/poids!E6</f>
        <v>3.1749509459249152</v>
      </c>
      <c r="K14" s="13">
        <f t="shared" si="2"/>
        <v>3174.9509459249152</v>
      </c>
      <c r="L14" s="13" t="str">
        <f>poids!F6</f>
        <v>PLAQUE TEST DILUTION</v>
      </c>
    </row>
    <row r="15" spans="1:12" x14ac:dyDescent="0.25">
      <c r="A15" s="13" t="str">
        <f>absorbances!E10</f>
        <v>NCHA100246_FA-1</v>
      </c>
      <c r="B15" s="13" t="str">
        <f t="shared" si="0"/>
        <v>NCHA100246</v>
      </c>
      <c r="C15" s="13">
        <f>AVERAGE(absorbances!E57:G57)</f>
        <v>0.46500000000000002</v>
      </c>
      <c r="D15" s="13"/>
      <c r="E15" s="50">
        <f>courbe_etalon!$F$3*EXP((courbe_etalon!$G$3*quantification!C15))</f>
        <v>4.6814269575661438</v>
      </c>
      <c r="F15" s="13">
        <f>E15*courbe_etalon!$F$7</f>
        <v>286.08720296237544</v>
      </c>
      <c r="G15" s="13">
        <f t="shared" si="1"/>
        <v>0.28608720296237544</v>
      </c>
      <c r="H15" s="13"/>
      <c r="I15" s="13">
        <f t="shared" si="3"/>
        <v>4.291308044435632E-3</v>
      </c>
      <c r="J15" s="13">
        <f>I15/poids!E7</f>
        <v>1.6505030940137455</v>
      </c>
      <c r="K15" s="13">
        <f t="shared" si="2"/>
        <v>1650.5030940137456</v>
      </c>
      <c r="L15" s="13" t="str">
        <f>poids!F7</f>
        <v>PLAQUE TEST DILUTION</v>
      </c>
    </row>
    <row r="16" spans="1:12" x14ac:dyDescent="0.25">
      <c r="A16" s="13" t="str">
        <f>absorbances!E11</f>
        <v>NCHA100247_FA-1</v>
      </c>
      <c r="B16" s="13" t="str">
        <f t="shared" si="0"/>
        <v>NCHA100247</v>
      </c>
      <c r="C16" s="13">
        <f>AVERAGE(absorbances!E58:G58)</f>
        <v>0.62466666666666659</v>
      </c>
      <c r="D16" s="13"/>
      <c r="E16" s="50">
        <f>courbe_etalon!$F$3*EXP((courbe_etalon!$G$3*quantification!C16))</f>
        <v>15.653568897941526</v>
      </c>
      <c r="F16" s="13">
        <f>E16*courbe_etalon!$F$7</f>
        <v>956.60698820753771</v>
      </c>
      <c r="G16" s="13">
        <f t="shared" si="1"/>
        <v>0.95660698820753776</v>
      </c>
      <c r="H16" s="13"/>
      <c r="I16" s="13">
        <f t="shared" si="3"/>
        <v>1.4349104823113067E-2</v>
      </c>
      <c r="J16" s="13">
        <f>I16/poids!E8</f>
        <v>1.3536891342559569</v>
      </c>
      <c r="K16" s="13">
        <f t="shared" si="2"/>
        <v>1353.689134255957</v>
      </c>
      <c r="L16" s="13" t="str">
        <f>poids!F8</f>
        <v>PLAQUE TEST DILUTION</v>
      </c>
    </row>
    <row r="17" spans="1:12" x14ac:dyDescent="0.25">
      <c r="A17" s="13" t="str">
        <f>absorbances!E12</f>
        <v>NCHA100249_FA-1</v>
      </c>
      <c r="B17" s="13" t="str">
        <f t="shared" si="0"/>
        <v>NCHA100249</v>
      </c>
      <c r="C17" s="13">
        <f>AVERAGE(absorbances!E59:G59)</f>
        <v>0.36366666666666664</v>
      </c>
      <c r="D17" s="13"/>
      <c r="E17" s="50">
        <f>courbe_etalon!$F$3*EXP((courbe_etalon!$G$3*quantification!C17))</f>
        <v>2.1760533269957767</v>
      </c>
      <c r="F17" s="13">
        <f>E17*courbe_etalon!$F$7</f>
        <v>132.98103664974192</v>
      </c>
      <c r="G17" s="13">
        <f t="shared" si="1"/>
        <v>0.13298103664974192</v>
      </c>
      <c r="H17" s="13"/>
      <c r="I17" s="13">
        <f t="shared" si="3"/>
        <v>1.994715549746129E-3</v>
      </c>
      <c r="J17" s="13">
        <f>I17/poids!E9</f>
        <v>0.25573276278796431</v>
      </c>
      <c r="K17" s="13">
        <f t="shared" si="2"/>
        <v>255.7327627879643</v>
      </c>
      <c r="L17" s="13" t="str">
        <f>poids!F9</f>
        <v>PLAQUE TEST DILUTION</v>
      </c>
    </row>
    <row r="18" spans="1:12" x14ac:dyDescent="0.25">
      <c r="A18" s="51" t="str">
        <f>absorbances!H5</f>
        <v>NCHA100079_FA-1</v>
      </c>
      <c r="B18" s="51" t="str">
        <f t="shared" si="0"/>
        <v>NCHA100079</v>
      </c>
      <c r="C18" s="51">
        <f>AVERAGE(absorbances!H52:J52)</f>
        <v>0.6293333333333333</v>
      </c>
      <c r="D18" s="51"/>
      <c r="E18" s="52">
        <f>courbe_etalon!$F$3*EXP((courbe_etalon!$G$3*quantification!C18))</f>
        <v>16.215691787068153</v>
      </c>
      <c r="F18" s="51">
        <f>E18*courbe_etalon!$F$8</f>
        <v>1783.7260965774967</v>
      </c>
      <c r="G18" s="51">
        <f t="shared" si="1"/>
        <v>1.7837260965774968</v>
      </c>
      <c r="H18" s="51"/>
      <c r="I18" s="51">
        <f t="shared" si="3"/>
        <v>2.6755891448662451E-2</v>
      </c>
      <c r="J18" s="51">
        <f>I18/poids!E2</f>
        <v>2.972876827629122</v>
      </c>
      <c r="K18" s="51">
        <f t="shared" si="2"/>
        <v>2972.8768276291221</v>
      </c>
      <c r="L18" s="51" t="str">
        <f>poids!F2</f>
        <v>PLAQUE TEST DILUTION</v>
      </c>
    </row>
    <row r="19" spans="1:12" x14ac:dyDescent="0.25">
      <c r="A19" s="51" t="str">
        <f>absorbances!H6</f>
        <v>NCHA100091_FA-1</v>
      </c>
      <c r="B19" s="51" t="str">
        <f t="shared" si="0"/>
        <v>NCHA100091</v>
      </c>
      <c r="C19" s="51">
        <f>AVERAGE(absorbances!H53:J53)</f>
        <v>0.62033333333333329</v>
      </c>
      <c r="D19" s="51"/>
      <c r="E19" s="52">
        <f>courbe_etalon!$F$3*EXP((courbe_etalon!$G$3*quantification!C19))</f>
        <v>15.149060279132089</v>
      </c>
      <c r="F19" s="51">
        <f>E19*courbe_etalon!$F$8</f>
        <v>1666.3966307045298</v>
      </c>
      <c r="G19" s="51">
        <f t="shared" si="1"/>
        <v>1.6663966307045297</v>
      </c>
      <c r="H19" s="51"/>
      <c r="I19" s="51">
        <f t="shared" si="3"/>
        <v>2.4995949460567945E-2</v>
      </c>
      <c r="J19" s="51">
        <f>I19/poids!E3</f>
        <v>4.0976966328799946</v>
      </c>
      <c r="K19" s="51">
        <f t="shared" si="2"/>
        <v>4097.6966328799945</v>
      </c>
      <c r="L19" s="51" t="str">
        <f>poids!F3</f>
        <v>PLAQUE TEST DILUTION</v>
      </c>
    </row>
    <row r="20" spans="1:12" x14ac:dyDescent="0.25">
      <c r="A20" s="51" t="str">
        <f>absorbances!H7</f>
        <v>NCHA100096_FA-1</v>
      </c>
      <c r="B20" s="51" t="str">
        <f t="shared" si="0"/>
        <v>NCHA100096</v>
      </c>
      <c r="C20" s="51">
        <f>AVERAGE(absorbances!H54:J54)</f>
        <v>0.55266666666666664</v>
      </c>
      <c r="D20" s="51"/>
      <c r="E20" s="52">
        <f>courbe_etalon!$F$3*EXP((courbe_etalon!$G$3*quantification!C20))</f>
        <v>9.0827020921568806</v>
      </c>
      <c r="F20" s="51">
        <f>E20*courbe_etalon!$F$8</f>
        <v>999.09723013725682</v>
      </c>
      <c r="G20" s="51">
        <f t="shared" si="1"/>
        <v>0.99909723013725682</v>
      </c>
      <c r="H20" s="51"/>
      <c r="I20" s="51">
        <f t="shared" si="3"/>
        <v>1.4986458452058852E-2</v>
      </c>
      <c r="J20" s="51">
        <f>I20/poids!E4</f>
        <v>1.0480040875565646</v>
      </c>
      <c r="K20" s="51">
        <f t="shared" si="2"/>
        <v>1048.0040875565646</v>
      </c>
      <c r="L20" s="51" t="str">
        <f>poids!F4</f>
        <v>PLAQUE TEST DILUTION</v>
      </c>
    </row>
    <row r="21" spans="1:12" x14ac:dyDescent="0.25">
      <c r="A21" s="51" t="str">
        <f>absorbances!H8</f>
        <v>NCHA100099_FA-1</v>
      </c>
      <c r="B21" s="51" t="str">
        <f t="shared" si="0"/>
        <v>NCHA100099</v>
      </c>
      <c r="C21" s="51">
        <f>AVERAGE(absorbances!H55:J55)</f>
        <v>0.48399999999999999</v>
      </c>
      <c r="D21" s="51"/>
      <c r="E21" s="52">
        <f>courbe_etalon!$F$3*EXP((courbe_etalon!$G$3*quantification!C21))</f>
        <v>5.4045698754703411</v>
      </c>
      <c r="F21" s="51">
        <f>E21*courbe_etalon!$F$8</f>
        <v>594.50268630173753</v>
      </c>
      <c r="G21" s="51">
        <f t="shared" si="1"/>
        <v>0.59450268630173753</v>
      </c>
      <c r="H21" s="51"/>
      <c r="I21" s="51">
        <f t="shared" si="3"/>
        <v>8.9175402945260631E-3</v>
      </c>
      <c r="J21" s="51">
        <f>I21/poids!E5</f>
        <v>0.61079043113191511</v>
      </c>
      <c r="K21" s="51">
        <f t="shared" si="2"/>
        <v>610.79043113191506</v>
      </c>
      <c r="L21" s="51" t="str">
        <f>poids!F5</f>
        <v>PLAQUE TEST DILUTION</v>
      </c>
    </row>
    <row r="22" spans="1:12" x14ac:dyDescent="0.25">
      <c r="A22" s="51" t="str">
        <f>absorbances!H9</f>
        <v>NCHA100245_FA-1</v>
      </c>
      <c r="B22" s="51" t="str">
        <f t="shared" si="0"/>
        <v>NCHA100245</v>
      </c>
      <c r="C22" s="51">
        <f>AVERAGE(absorbances!H56:J56)</f>
        <v>0.52833333333333332</v>
      </c>
      <c r="D22" s="51"/>
      <c r="E22" s="52">
        <f>courbe_etalon!$F$3*EXP((courbe_etalon!$G$3*quantification!C22))</f>
        <v>7.5565089334769864</v>
      </c>
      <c r="F22" s="51">
        <f>E22*courbe_etalon!$F$8</f>
        <v>831.21598268246851</v>
      </c>
      <c r="G22" s="51">
        <f t="shared" si="1"/>
        <v>0.83121598268246855</v>
      </c>
      <c r="H22" s="51"/>
      <c r="I22" s="51">
        <f t="shared" si="3"/>
        <v>1.2468239740237027E-2</v>
      </c>
      <c r="J22" s="51">
        <f>I22/poids!E6</f>
        <v>3.8963249188242295</v>
      </c>
      <c r="K22" s="51">
        <f t="shared" si="2"/>
        <v>3896.3249188242294</v>
      </c>
      <c r="L22" s="51" t="str">
        <f>poids!F6</f>
        <v>PLAQUE TEST DILUTION</v>
      </c>
    </row>
    <row r="23" spans="1:12" x14ac:dyDescent="0.25">
      <c r="A23" s="51" t="str">
        <f>absorbances!H10</f>
        <v>NCHA100246_FA-1</v>
      </c>
      <c r="B23" s="51" t="str">
        <f t="shared" si="0"/>
        <v>NCHA100246</v>
      </c>
      <c r="C23" s="51">
        <f>AVERAGE(absorbances!H57:J57)</f>
        <v>0.45066666666666672</v>
      </c>
      <c r="D23" s="51"/>
      <c r="E23" s="52">
        <f>courbe_etalon!$F$3*EXP((courbe_etalon!$G$3*quantification!C23))</f>
        <v>4.2006594950136105</v>
      </c>
      <c r="F23" s="51">
        <f>E23*courbe_etalon!$F$8</f>
        <v>462.07254445149715</v>
      </c>
      <c r="G23" s="51">
        <f t="shared" si="1"/>
        <v>0.46207254445149715</v>
      </c>
      <c r="H23" s="51"/>
      <c r="I23" s="51">
        <f t="shared" si="3"/>
        <v>6.9310881667724571E-3</v>
      </c>
      <c r="J23" s="51">
        <f>I23/poids!E7</f>
        <v>2.6658031410663958</v>
      </c>
      <c r="K23" s="51">
        <f t="shared" si="2"/>
        <v>2665.8031410663957</v>
      </c>
      <c r="L23" s="51" t="str">
        <f>poids!F7</f>
        <v>PLAQUE TEST DILUTION</v>
      </c>
    </row>
    <row r="24" spans="1:12" x14ac:dyDescent="0.25">
      <c r="A24" s="51" t="str">
        <f>absorbances!H11</f>
        <v>NCHA100247_FA-1</v>
      </c>
      <c r="B24" s="51" t="str">
        <f t="shared" si="0"/>
        <v>NCHA100247</v>
      </c>
      <c r="C24" s="51">
        <f>AVERAGE(absorbances!H58:J58)</f>
        <v>0.62</v>
      </c>
      <c r="D24" s="51"/>
      <c r="E24" s="52">
        <f>courbe_etalon!$F$3*EXP((courbe_etalon!$G$3*quantification!C24))</f>
        <v>15.110932204447485</v>
      </c>
      <c r="F24" s="51">
        <f>E24*courbe_etalon!$F$8</f>
        <v>1662.2025424892233</v>
      </c>
      <c r="G24" s="51">
        <f t="shared" si="1"/>
        <v>1.6622025424892233</v>
      </c>
      <c r="H24" s="51"/>
      <c r="I24" s="51">
        <f t="shared" si="3"/>
        <v>2.493303813733835E-2</v>
      </c>
      <c r="J24" s="51">
        <f>I24/poids!E8</f>
        <v>2.3521734091828761</v>
      </c>
      <c r="K24" s="51">
        <f t="shared" si="2"/>
        <v>2352.1734091828762</v>
      </c>
      <c r="L24" s="51" t="str">
        <f>poids!F8</f>
        <v>PLAQUE TEST DILUTION</v>
      </c>
    </row>
    <row r="25" spans="1:12" x14ac:dyDescent="0.25">
      <c r="A25" s="51" t="str">
        <f>absorbances!H12</f>
        <v>NCHA100249_FA-1</v>
      </c>
      <c r="B25" s="51" t="str">
        <f t="shared" si="0"/>
        <v>NCHA100249</v>
      </c>
      <c r="C25" s="51">
        <f>AVERAGE(absorbances!H59:J59)</f>
        <v>0.56366666666666665</v>
      </c>
      <c r="D25" s="51"/>
      <c r="E25" s="52">
        <f>courbe_etalon!$F$3*EXP((courbe_etalon!$G$3*quantification!C25))</f>
        <v>9.8703255390849183</v>
      </c>
      <c r="F25" s="51">
        <f>E25*courbe_etalon!$F$8</f>
        <v>1085.7358092993411</v>
      </c>
      <c r="G25" s="51">
        <f t="shared" si="1"/>
        <v>1.085735809299341</v>
      </c>
      <c r="H25" s="51"/>
      <c r="I25" s="51">
        <f t="shared" si="3"/>
        <v>1.6286037139490117E-2</v>
      </c>
      <c r="J25" s="51">
        <f>I25/poids!E9</f>
        <v>2.087953479421802</v>
      </c>
      <c r="K25" s="51">
        <f t="shared" si="2"/>
        <v>2087.9534794218021</v>
      </c>
      <c r="L25" s="51" t="str">
        <f>poids!F9</f>
        <v>PLAQUE TEST DILUTION</v>
      </c>
    </row>
    <row r="29" spans="1:12" x14ac:dyDescent="0.25">
      <c r="A29" s="17" t="s">
        <v>26</v>
      </c>
      <c r="B29" s="55" t="s">
        <v>64</v>
      </c>
      <c r="C29" s="17" t="s">
        <v>19</v>
      </c>
      <c r="D29" t="s">
        <v>65</v>
      </c>
    </row>
    <row r="30" spans="1:12" x14ac:dyDescent="0.25">
      <c r="A30" s="48" t="s">
        <v>56</v>
      </c>
      <c r="B30" s="48">
        <v>1</v>
      </c>
      <c r="C30" s="48">
        <v>1.0508714094328604</v>
      </c>
      <c r="D30">
        <f>AVERAGE(C30:C37)</f>
        <v>0.66777092638142543</v>
      </c>
    </row>
    <row r="31" spans="1:12" x14ac:dyDescent="0.25">
      <c r="A31" s="48" t="s">
        <v>57</v>
      </c>
      <c r="B31" s="48">
        <v>1</v>
      </c>
      <c r="C31" s="48">
        <v>1.0017406135057982</v>
      </c>
    </row>
    <row r="32" spans="1:12" x14ac:dyDescent="0.25">
      <c r="A32" s="48" t="s">
        <v>58</v>
      </c>
      <c r="B32" s="48">
        <v>1</v>
      </c>
      <c r="C32" s="48">
        <v>0.70393759777779796</v>
      </c>
    </row>
    <row r="33" spans="1:4" x14ac:dyDescent="0.25">
      <c r="A33" s="48" t="s">
        <v>59</v>
      </c>
      <c r="B33" s="48">
        <v>1</v>
      </c>
      <c r="C33" s="48">
        <v>0.67611905633581271</v>
      </c>
    </row>
    <row r="34" spans="1:4" x14ac:dyDescent="0.25">
      <c r="A34" s="48" t="s">
        <v>60</v>
      </c>
      <c r="B34" s="48">
        <v>1</v>
      </c>
      <c r="C34" s="48">
        <v>0.81884246318638787</v>
      </c>
    </row>
    <row r="35" spans="1:4" x14ac:dyDescent="0.25">
      <c r="A35" s="48" t="s">
        <v>61</v>
      </c>
      <c r="B35" s="48">
        <v>1</v>
      </c>
      <c r="C35" s="48">
        <v>0.20528380014606459</v>
      </c>
    </row>
    <row r="36" spans="1:4" x14ac:dyDescent="0.25">
      <c r="A36" s="48" t="s">
        <v>62</v>
      </c>
      <c r="B36" s="48">
        <v>1</v>
      </c>
      <c r="C36" s="48">
        <v>0.68469216701892877</v>
      </c>
    </row>
    <row r="37" spans="1:4" x14ac:dyDescent="0.25">
      <c r="A37" s="48" t="s">
        <v>63</v>
      </c>
      <c r="B37" s="48">
        <v>1</v>
      </c>
      <c r="C37" s="48">
        <v>0.20068030364775374</v>
      </c>
    </row>
    <row r="38" spans="1:4" x14ac:dyDescent="0.25">
      <c r="A38" s="13" t="s">
        <v>56</v>
      </c>
      <c r="B38" s="13">
        <v>2</v>
      </c>
      <c r="C38" s="13">
        <v>0.75104790384572018</v>
      </c>
      <c r="D38">
        <f>AVERAGE(C38:C45)</f>
        <v>0.67853520312078996</v>
      </c>
    </row>
    <row r="39" spans="1:4" x14ac:dyDescent="0.25">
      <c r="A39" s="13" t="s">
        <v>57</v>
      </c>
      <c r="B39" s="13">
        <v>2</v>
      </c>
      <c r="C39" s="13">
        <v>1.2717591813546125</v>
      </c>
    </row>
    <row r="40" spans="1:4" x14ac:dyDescent="0.25">
      <c r="A40" s="13" t="s">
        <v>58</v>
      </c>
      <c r="B40" s="13">
        <v>2</v>
      </c>
      <c r="C40" s="13">
        <v>0.70519094008448036</v>
      </c>
    </row>
    <row r="41" spans="1:4" x14ac:dyDescent="0.25">
      <c r="A41" s="13" t="s">
        <v>59</v>
      </c>
      <c r="B41" s="13">
        <v>2</v>
      </c>
      <c r="C41" s="13">
        <v>0.64728550339789737</v>
      </c>
    </row>
    <row r="42" spans="1:4" x14ac:dyDescent="0.25">
      <c r="A42" s="13" t="s">
        <v>60</v>
      </c>
      <c r="B42" s="13">
        <v>2</v>
      </c>
      <c r="C42" s="13">
        <v>0.67732286846395429</v>
      </c>
    </row>
    <row r="43" spans="1:4" x14ac:dyDescent="0.25">
      <c r="A43" s="13" t="s">
        <v>61</v>
      </c>
      <c r="B43" s="13">
        <v>2</v>
      </c>
      <c r="C43" s="13">
        <v>0.28608720296237544</v>
      </c>
    </row>
    <row r="44" spans="1:4" x14ac:dyDescent="0.25">
      <c r="A44" s="13" t="s">
        <v>62</v>
      </c>
      <c r="B44" s="13">
        <v>2</v>
      </c>
      <c r="C44" s="13">
        <v>0.95660698820753776</v>
      </c>
    </row>
    <row r="45" spans="1:4" x14ac:dyDescent="0.25">
      <c r="A45" s="13" t="s">
        <v>63</v>
      </c>
      <c r="B45" s="13">
        <v>2</v>
      </c>
      <c r="C45" s="13">
        <v>0.13298103664974192</v>
      </c>
    </row>
    <row r="46" spans="1:4" x14ac:dyDescent="0.25">
      <c r="A46" s="51" t="s">
        <v>56</v>
      </c>
      <c r="B46" s="51">
        <v>3</v>
      </c>
      <c r="C46" s="51">
        <v>1.7837260965774968</v>
      </c>
      <c r="D46">
        <f>AVERAGE(C46:C53)</f>
        <v>1.1356186903304439</v>
      </c>
    </row>
    <row r="47" spans="1:4" x14ac:dyDescent="0.25">
      <c r="A47" s="51" t="s">
        <v>57</v>
      </c>
      <c r="B47" s="51">
        <v>3</v>
      </c>
      <c r="C47" s="51">
        <v>1.6663966307045297</v>
      </c>
    </row>
    <row r="48" spans="1:4" x14ac:dyDescent="0.25">
      <c r="A48" s="51" t="s">
        <v>58</v>
      </c>
      <c r="B48" s="51">
        <v>3</v>
      </c>
      <c r="C48" s="51">
        <v>0.99909723013725682</v>
      </c>
    </row>
    <row r="49" spans="1:3" x14ac:dyDescent="0.25">
      <c r="A49" s="51" t="s">
        <v>59</v>
      </c>
      <c r="B49" s="51">
        <v>3</v>
      </c>
      <c r="C49" s="51">
        <v>0.59450268630173753</v>
      </c>
    </row>
    <row r="50" spans="1:3" x14ac:dyDescent="0.25">
      <c r="A50" s="51" t="s">
        <v>60</v>
      </c>
      <c r="B50" s="51">
        <v>3</v>
      </c>
      <c r="C50" s="51">
        <v>0.83121598268246855</v>
      </c>
    </row>
    <row r="51" spans="1:3" x14ac:dyDescent="0.25">
      <c r="A51" s="51" t="s">
        <v>61</v>
      </c>
      <c r="B51" s="51">
        <v>3</v>
      </c>
      <c r="C51" s="51">
        <v>0.46207254445149715</v>
      </c>
    </row>
    <row r="52" spans="1:3" x14ac:dyDescent="0.25">
      <c r="A52" s="51" t="s">
        <v>62</v>
      </c>
      <c r="B52" s="51">
        <v>3</v>
      </c>
      <c r="C52" s="51">
        <v>1.6622025424892233</v>
      </c>
    </row>
    <row r="53" spans="1:3" x14ac:dyDescent="0.25">
      <c r="A53" s="51" t="s">
        <v>63</v>
      </c>
      <c r="B53" s="51">
        <v>3</v>
      </c>
      <c r="C53" s="51">
        <v>1.085735809299341</v>
      </c>
    </row>
    <row r="71" spans="1:4" x14ac:dyDescent="0.25">
      <c r="A71" s="62" t="s">
        <v>66</v>
      </c>
      <c r="B71" s="62" t="s">
        <v>67</v>
      </c>
      <c r="C71" s="62" t="s">
        <v>68</v>
      </c>
      <c r="D71" s="62" t="s">
        <v>12</v>
      </c>
    </row>
    <row r="72" spans="1:4" x14ac:dyDescent="0.25">
      <c r="A72" s="63">
        <v>0.70466666666666666</v>
      </c>
      <c r="B72" s="64">
        <v>0.59266666666666667</v>
      </c>
      <c r="C72" s="65">
        <v>0.6293333333333333</v>
      </c>
      <c r="D72" s="63" t="s">
        <v>69</v>
      </c>
    </row>
    <row r="73" spans="1:4" x14ac:dyDescent="0.25">
      <c r="A73" s="63">
        <v>0.69833333333333325</v>
      </c>
      <c r="B73" s="64">
        <v>0.66233333333333333</v>
      </c>
      <c r="C73" s="65">
        <v>0.62033333333333329</v>
      </c>
      <c r="D73" s="63" t="s">
        <v>70</v>
      </c>
    </row>
    <row r="74" spans="1:4" x14ac:dyDescent="0.25">
      <c r="A74" s="63">
        <v>0.65166666666666662</v>
      </c>
      <c r="B74" s="64">
        <v>0.58433333333333326</v>
      </c>
      <c r="C74" s="65">
        <v>0.55266666666666664</v>
      </c>
      <c r="D74" s="63" t="s">
        <v>71</v>
      </c>
    </row>
    <row r="75" spans="1:4" x14ac:dyDescent="0.25">
      <c r="A75" s="63">
        <v>0.6463333333333332</v>
      </c>
      <c r="B75" s="64">
        <v>0.57299999999999995</v>
      </c>
      <c r="C75" s="65">
        <v>0.48399999999999999</v>
      </c>
      <c r="D75" s="63" t="s">
        <v>72</v>
      </c>
    </row>
    <row r="76" spans="1:4" x14ac:dyDescent="0.25">
      <c r="A76" s="63">
        <v>0.67166666666666652</v>
      </c>
      <c r="B76" s="64">
        <v>0.57899999999999996</v>
      </c>
      <c r="C76" s="65">
        <v>0.52833333333333332</v>
      </c>
      <c r="D76" s="63" t="s">
        <v>73</v>
      </c>
    </row>
    <row r="77" spans="1:4" x14ac:dyDescent="0.25">
      <c r="A77" s="63">
        <v>0.48866666666666675</v>
      </c>
      <c r="B77" s="64">
        <v>0.46500000000000002</v>
      </c>
      <c r="C77" s="65">
        <v>0.45066666666666672</v>
      </c>
      <c r="D77" s="63" t="s">
        <v>74</v>
      </c>
    </row>
    <row r="78" spans="1:4" x14ac:dyDescent="0.25">
      <c r="A78" s="63">
        <v>0.64800000000000002</v>
      </c>
      <c r="B78" s="64">
        <v>0.62466666666666659</v>
      </c>
      <c r="C78" s="65">
        <v>0.62</v>
      </c>
      <c r="D78" s="63" t="s">
        <v>75</v>
      </c>
    </row>
    <row r="79" spans="1:4" x14ac:dyDescent="0.25">
      <c r="A79" s="63">
        <v>0.48566666666666669</v>
      </c>
      <c r="B79" s="64">
        <v>0.36366666666666664</v>
      </c>
      <c r="C79" s="65">
        <v>0.56366666666666665</v>
      </c>
      <c r="D79" s="63" t="s">
        <v>76</v>
      </c>
    </row>
    <row r="88" spans="1:4" x14ac:dyDescent="0.25">
      <c r="A88" s="62" t="s">
        <v>77</v>
      </c>
      <c r="B88" s="62" t="s">
        <v>78</v>
      </c>
      <c r="C88" s="62" t="s">
        <v>79</v>
      </c>
      <c r="D88" s="62" t="s">
        <v>12</v>
      </c>
    </row>
    <row r="89" spans="1:4" x14ac:dyDescent="0.25">
      <c r="A89" s="66">
        <v>28.660129348168926</v>
      </c>
      <c r="B89" s="67">
        <v>12.289874790202694</v>
      </c>
      <c r="C89" s="68">
        <v>16.215691787068153</v>
      </c>
      <c r="D89" s="63" t="s">
        <v>69</v>
      </c>
    </row>
    <row r="90" spans="1:4" x14ac:dyDescent="0.25">
      <c r="A90" s="66">
        <v>27.320198550158132</v>
      </c>
      <c r="B90" s="67">
        <v>20.810604785802749</v>
      </c>
      <c r="C90" s="68">
        <v>15.149060279132089</v>
      </c>
      <c r="D90" s="63" t="s">
        <v>70</v>
      </c>
    </row>
    <row r="91" spans="1:4" x14ac:dyDescent="0.25">
      <c r="A91" s="66">
        <v>19.198298121212673</v>
      </c>
      <c r="B91" s="67">
        <v>11.539488110473313</v>
      </c>
      <c r="C91" s="68">
        <v>9.0827020921568806</v>
      </c>
      <c r="D91" s="63" t="s">
        <v>71</v>
      </c>
    </row>
    <row r="92" spans="1:4" x14ac:dyDescent="0.25">
      <c r="A92" s="66">
        <v>18.439610627340347</v>
      </c>
      <c r="B92" s="67">
        <v>10.591944601056502</v>
      </c>
      <c r="C92" s="68">
        <v>5.4045698754703411</v>
      </c>
      <c r="D92" s="63" t="s">
        <v>72</v>
      </c>
    </row>
    <row r="93" spans="1:4" x14ac:dyDescent="0.25">
      <c r="A93" s="66">
        <v>22.332067177810579</v>
      </c>
      <c r="B93" s="67">
        <v>11.08346512031925</v>
      </c>
      <c r="C93" s="68">
        <v>7.5565089334769864</v>
      </c>
      <c r="D93" s="63" t="s">
        <v>73</v>
      </c>
    </row>
    <row r="94" spans="1:4" x14ac:dyDescent="0.25">
      <c r="A94" s="66">
        <v>5.5986490948926715</v>
      </c>
      <c r="B94" s="67">
        <v>4.6814269575661438</v>
      </c>
      <c r="C94" s="68">
        <v>4.2006594950136105</v>
      </c>
      <c r="D94" s="63" t="s">
        <v>74</v>
      </c>
    </row>
    <row r="95" spans="1:4" x14ac:dyDescent="0.25">
      <c r="A95" s="66">
        <v>18.673422736879878</v>
      </c>
      <c r="B95" s="67">
        <v>15.653568897941526</v>
      </c>
      <c r="C95" s="68">
        <v>15.110932204447485</v>
      </c>
      <c r="D95" s="63" t="s">
        <v>75</v>
      </c>
    </row>
    <row r="96" spans="1:4" x14ac:dyDescent="0.25">
      <c r="A96" s="66">
        <v>5.4730991903932837</v>
      </c>
      <c r="B96" s="67">
        <v>2.1760533269957767</v>
      </c>
      <c r="C96" s="68">
        <v>9.8703255390849183</v>
      </c>
      <c r="D96" s="63" t="s">
        <v>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absorbances</vt:lpstr>
      <vt:lpstr>courbe_etalon</vt:lpstr>
      <vt:lpstr>poids</vt:lpstr>
      <vt:lpstr>quantification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BLANCHET</dc:creator>
  <cp:lastModifiedBy>Julie BLANCHET</cp:lastModifiedBy>
  <dcterms:created xsi:type="dcterms:W3CDTF">2025-03-10T13:14:35Z</dcterms:created>
  <dcterms:modified xsi:type="dcterms:W3CDTF">2025-04-16T16:40:58Z</dcterms:modified>
</cp:coreProperties>
</file>