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anchej\Documents\Julie\ELISA_IgA\data\raw_data\Traitements\"/>
    </mc:Choice>
  </mc:AlternateContent>
  <bookViews>
    <workbookView xWindow="0" yWindow="0" windowWidth="13140" windowHeight="7965" activeTab="1"/>
  </bookViews>
  <sheets>
    <sheet name="absorbances" sheetId="1" r:id="rId1"/>
    <sheet name="courbe_etalon" sheetId="3" r:id="rId2"/>
    <sheet name="poids" sheetId="4" r:id="rId3"/>
    <sheet name="quantification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3" i="2"/>
  <c r="F2" i="2"/>
  <c r="I19" i="4"/>
  <c r="J19" i="4"/>
  <c r="K19" i="4"/>
  <c r="I13" i="4"/>
  <c r="J13" i="4"/>
  <c r="K13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3" i="4"/>
  <c r="K4" i="4"/>
  <c r="K5" i="4"/>
  <c r="K6" i="4"/>
  <c r="K7" i="4"/>
  <c r="K8" i="4"/>
  <c r="K9" i="4"/>
  <c r="K10" i="4"/>
  <c r="K11" i="4"/>
  <c r="K12" i="4"/>
  <c r="K14" i="4"/>
  <c r="K15" i="4"/>
  <c r="K16" i="4"/>
  <c r="K17" i="4"/>
  <c r="K18" i="4"/>
  <c r="K20" i="4"/>
  <c r="K21" i="4"/>
  <c r="K22" i="4"/>
  <c r="K2" i="4"/>
  <c r="F19" i="3"/>
  <c r="F6" i="3"/>
  <c r="J3" i="4"/>
  <c r="J4" i="4"/>
  <c r="J5" i="4"/>
  <c r="J6" i="4"/>
  <c r="J7" i="4"/>
  <c r="J8" i="4"/>
  <c r="J9" i="4"/>
  <c r="J10" i="4"/>
  <c r="J11" i="4"/>
  <c r="J12" i="4"/>
  <c r="J14" i="4"/>
  <c r="J15" i="4"/>
  <c r="J16" i="4"/>
  <c r="J17" i="4"/>
  <c r="J18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2" i="4"/>
  <c r="I3" i="4"/>
  <c r="I4" i="4"/>
  <c r="I5" i="4"/>
  <c r="I6" i="4"/>
  <c r="I7" i="4"/>
  <c r="I8" i="4"/>
  <c r="I9" i="4"/>
  <c r="I10" i="4"/>
  <c r="I11" i="4"/>
  <c r="I12" i="4"/>
  <c r="I14" i="4"/>
  <c r="I15" i="4"/>
  <c r="I16" i="4"/>
  <c r="I17" i="4"/>
  <c r="I18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2" i="4"/>
  <c r="P53" i="1" l="1"/>
  <c r="Q53" i="1"/>
  <c r="R53" i="1"/>
  <c r="S53" i="1"/>
  <c r="T53" i="1"/>
  <c r="U53" i="1"/>
  <c r="V53" i="1"/>
  <c r="W53" i="1"/>
  <c r="X53" i="1"/>
  <c r="Y53" i="1"/>
  <c r="Z53" i="1"/>
  <c r="AA53" i="1"/>
  <c r="P54" i="1"/>
  <c r="Q54" i="1"/>
  <c r="R54" i="1"/>
  <c r="S54" i="1"/>
  <c r="T54" i="1"/>
  <c r="U54" i="1"/>
  <c r="V54" i="1"/>
  <c r="W54" i="1"/>
  <c r="X54" i="1"/>
  <c r="Y54" i="1"/>
  <c r="Z54" i="1"/>
  <c r="AA54" i="1"/>
  <c r="P55" i="1"/>
  <c r="Q55" i="1"/>
  <c r="R55" i="1"/>
  <c r="S55" i="1"/>
  <c r="T55" i="1"/>
  <c r="U55" i="1"/>
  <c r="V55" i="1"/>
  <c r="W55" i="1"/>
  <c r="X55" i="1"/>
  <c r="Y55" i="1"/>
  <c r="Z55" i="1"/>
  <c r="AA55" i="1"/>
  <c r="P56" i="1"/>
  <c r="Q56" i="1"/>
  <c r="R56" i="1"/>
  <c r="S56" i="1"/>
  <c r="T56" i="1"/>
  <c r="U56" i="1"/>
  <c r="V56" i="1"/>
  <c r="W56" i="1"/>
  <c r="X56" i="1"/>
  <c r="Y56" i="1"/>
  <c r="Z56" i="1"/>
  <c r="AA56" i="1"/>
  <c r="P57" i="1"/>
  <c r="Q57" i="1"/>
  <c r="R57" i="1"/>
  <c r="S57" i="1"/>
  <c r="T57" i="1"/>
  <c r="U57" i="1"/>
  <c r="V57" i="1"/>
  <c r="W57" i="1"/>
  <c r="X57" i="1"/>
  <c r="Y57" i="1"/>
  <c r="Z57" i="1"/>
  <c r="AA57" i="1"/>
  <c r="P58" i="1"/>
  <c r="Q58" i="1"/>
  <c r="R58" i="1"/>
  <c r="S58" i="1"/>
  <c r="T58" i="1"/>
  <c r="U58" i="1"/>
  <c r="V58" i="1"/>
  <c r="W58" i="1"/>
  <c r="X58" i="1"/>
  <c r="Y58" i="1"/>
  <c r="Z58" i="1"/>
  <c r="AA58" i="1"/>
  <c r="P59" i="1"/>
  <c r="Q59" i="1"/>
  <c r="R59" i="1"/>
  <c r="S59" i="1"/>
  <c r="T59" i="1"/>
  <c r="U59" i="1"/>
  <c r="V59" i="1"/>
  <c r="W59" i="1"/>
  <c r="X59" i="1"/>
  <c r="Y59" i="1"/>
  <c r="Z59" i="1"/>
  <c r="AA59" i="1"/>
  <c r="Q52" i="1"/>
  <c r="R52" i="1"/>
  <c r="S52" i="1"/>
  <c r="T52" i="1"/>
  <c r="U52" i="1"/>
  <c r="V52" i="1"/>
  <c r="W52" i="1"/>
  <c r="X52" i="1"/>
  <c r="Y52" i="1"/>
  <c r="Z52" i="1"/>
  <c r="AA52" i="1"/>
  <c r="P52" i="1"/>
  <c r="Y47" i="1"/>
  <c r="B53" i="1"/>
  <c r="C53" i="1"/>
  <c r="D53" i="1"/>
  <c r="E53" i="1"/>
  <c r="F53" i="1"/>
  <c r="G53" i="1"/>
  <c r="H53" i="1"/>
  <c r="I53" i="1"/>
  <c r="J53" i="1"/>
  <c r="K53" i="1"/>
  <c r="L53" i="1"/>
  <c r="M53" i="1"/>
  <c r="B54" i="1"/>
  <c r="C54" i="1"/>
  <c r="D54" i="1"/>
  <c r="E54" i="1"/>
  <c r="F54" i="1"/>
  <c r="G54" i="1"/>
  <c r="H54" i="1"/>
  <c r="I54" i="1"/>
  <c r="J54" i="1"/>
  <c r="K54" i="1"/>
  <c r="L54" i="1"/>
  <c r="M54" i="1"/>
  <c r="B55" i="1"/>
  <c r="C55" i="1"/>
  <c r="D55" i="1"/>
  <c r="E55" i="1"/>
  <c r="F55" i="1"/>
  <c r="G55" i="1"/>
  <c r="H55" i="1"/>
  <c r="I55" i="1"/>
  <c r="J55" i="1"/>
  <c r="K55" i="1"/>
  <c r="L55" i="1"/>
  <c r="M55" i="1"/>
  <c r="B56" i="1"/>
  <c r="C56" i="1"/>
  <c r="D56" i="1"/>
  <c r="E56" i="1"/>
  <c r="F56" i="1"/>
  <c r="G56" i="1"/>
  <c r="H56" i="1"/>
  <c r="I56" i="1"/>
  <c r="J56" i="1"/>
  <c r="K56" i="1"/>
  <c r="L56" i="1"/>
  <c r="M56" i="1"/>
  <c r="B57" i="1"/>
  <c r="C57" i="1"/>
  <c r="D57" i="1"/>
  <c r="E57" i="1"/>
  <c r="F57" i="1"/>
  <c r="G57" i="1"/>
  <c r="H57" i="1"/>
  <c r="I57" i="1"/>
  <c r="J57" i="1"/>
  <c r="K57" i="1"/>
  <c r="L57" i="1"/>
  <c r="M57" i="1"/>
  <c r="B58" i="1"/>
  <c r="C58" i="1"/>
  <c r="D58" i="1"/>
  <c r="E58" i="1"/>
  <c r="F58" i="1"/>
  <c r="G58" i="1"/>
  <c r="H58" i="1"/>
  <c r="I58" i="1"/>
  <c r="J58" i="1"/>
  <c r="K58" i="1"/>
  <c r="L58" i="1"/>
  <c r="M58" i="1"/>
  <c r="B59" i="1"/>
  <c r="C59" i="1"/>
  <c r="D59" i="1"/>
  <c r="E59" i="1"/>
  <c r="F59" i="1"/>
  <c r="G59" i="1"/>
  <c r="H59" i="1"/>
  <c r="I59" i="1"/>
  <c r="J59" i="1"/>
  <c r="K59" i="1"/>
  <c r="L59" i="1"/>
  <c r="M59" i="1"/>
  <c r="C52" i="1"/>
  <c r="D52" i="1"/>
  <c r="E52" i="1"/>
  <c r="F52" i="1"/>
  <c r="G52" i="1"/>
  <c r="H52" i="1"/>
  <c r="I52" i="1"/>
  <c r="J52" i="1"/>
  <c r="K52" i="1"/>
  <c r="L52" i="1"/>
  <c r="M52" i="1"/>
  <c r="B52" i="1"/>
  <c r="K47" i="1"/>
  <c r="L66" i="1" l="1"/>
  <c r="Z71" i="1"/>
  <c r="Y67" i="1"/>
  <c r="Y65" i="1"/>
  <c r="S66" i="1"/>
  <c r="P70" i="1"/>
  <c r="P65" i="1"/>
  <c r="Z72" i="1"/>
  <c r="S72" i="1"/>
  <c r="P72" i="1"/>
  <c r="S71" i="1"/>
  <c r="P71" i="1"/>
  <c r="Z70" i="1"/>
  <c r="S70" i="1"/>
  <c r="Z69" i="1"/>
  <c r="S69" i="1"/>
  <c r="P69" i="1"/>
  <c r="Z68" i="1"/>
  <c r="S68" i="1"/>
  <c r="P68" i="1"/>
  <c r="Z67" i="1"/>
  <c r="S67" i="1"/>
  <c r="P67" i="1"/>
  <c r="Z66" i="1"/>
  <c r="V66" i="1"/>
  <c r="P66" i="1"/>
  <c r="Z65" i="1"/>
  <c r="V65" i="1"/>
  <c r="S65" i="1"/>
  <c r="K67" i="1"/>
  <c r="K65" i="1"/>
  <c r="L67" i="1"/>
  <c r="L68" i="1"/>
  <c r="L69" i="1"/>
  <c r="L70" i="1"/>
  <c r="L71" i="1"/>
  <c r="L72" i="1"/>
  <c r="L65" i="1"/>
  <c r="H66" i="1"/>
  <c r="H67" i="1"/>
  <c r="H68" i="1"/>
  <c r="H69" i="1"/>
  <c r="H70" i="1"/>
  <c r="H71" i="1"/>
  <c r="H72" i="1"/>
  <c r="E66" i="1"/>
  <c r="E67" i="1"/>
  <c r="E68" i="1"/>
  <c r="E69" i="1"/>
  <c r="E70" i="1"/>
  <c r="E71" i="1"/>
  <c r="E72" i="1"/>
  <c r="H65" i="1"/>
  <c r="E65" i="1"/>
  <c r="B66" i="1"/>
  <c r="B67" i="1"/>
  <c r="B68" i="1"/>
  <c r="B69" i="1"/>
  <c r="B70" i="1"/>
  <c r="B71" i="1"/>
  <c r="B72" i="1"/>
  <c r="B65" i="1"/>
  <c r="B12" i="2" l="1"/>
  <c r="B13" i="4"/>
  <c r="G32" i="2" l="1"/>
  <c r="I32" i="2" s="1"/>
  <c r="J32" i="2" s="1"/>
  <c r="K32" i="2" s="1"/>
  <c r="E32" i="2"/>
  <c r="E33" i="2"/>
  <c r="G33" i="2" s="1"/>
  <c r="I33" i="2" s="1"/>
  <c r="J33" i="2" s="1"/>
  <c r="K33" i="2" s="1"/>
  <c r="E35" i="2"/>
  <c r="G35" i="2" s="1"/>
  <c r="I35" i="2" s="1"/>
  <c r="J35" i="2" s="1"/>
  <c r="K35" i="2" s="1"/>
  <c r="E36" i="2"/>
  <c r="G36" i="2" s="1"/>
  <c r="I36" i="2" s="1"/>
  <c r="J36" i="2" s="1"/>
  <c r="K36" i="2" s="1"/>
  <c r="E37" i="2"/>
  <c r="G37" i="2" s="1"/>
  <c r="I37" i="2" s="1"/>
  <c r="J37" i="2" s="1"/>
  <c r="K37" i="2" s="1"/>
  <c r="E38" i="2"/>
  <c r="G38" i="2" s="1"/>
  <c r="I38" i="2" s="1"/>
  <c r="J38" i="2" s="1"/>
  <c r="K38" i="2" s="1"/>
  <c r="E26" i="2"/>
  <c r="G26" i="2" s="1"/>
  <c r="I26" i="2" s="1"/>
  <c r="J26" i="2" s="1"/>
  <c r="K26" i="2" s="1"/>
  <c r="C43" i="2"/>
  <c r="E43" i="2" s="1"/>
  <c r="G43" i="2" s="1"/>
  <c r="I43" i="2" s="1"/>
  <c r="J43" i="2" s="1"/>
  <c r="K43" i="2" s="1"/>
  <c r="C42" i="2"/>
  <c r="E42" i="2" s="1"/>
  <c r="G42" i="2" s="1"/>
  <c r="I42" i="2" s="1"/>
  <c r="J42" i="2" s="1"/>
  <c r="K42" i="2" s="1"/>
  <c r="C35" i="2"/>
  <c r="C36" i="2"/>
  <c r="C37" i="2"/>
  <c r="C38" i="2"/>
  <c r="C39" i="2"/>
  <c r="E39" i="2" s="1"/>
  <c r="G39" i="2" s="1"/>
  <c r="I39" i="2" s="1"/>
  <c r="J39" i="2" s="1"/>
  <c r="K39" i="2" s="1"/>
  <c r="C40" i="2"/>
  <c r="E40" i="2" s="1"/>
  <c r="G40" i="2" s="1"/>
  <c r="I40" i="2" s="1"/>
  <c r="J40" i="2" s="1"/>
  <c r="K40" i="2" s="1"/>
  <c r="C41" i="2"/>
  <c r="E41" i="2" s="1"/>
  <c r="G41" i="2" s="1"/>
  <c r="I41" i="2" s="1"/>
  <c r="J41" i="2" s="1"/>
  <c r="K41" i="2" s="1"/>
  <c r="C34" i="2"/>
  <c r="E34" i="2" s="1"/>
  <c r="G34" i="2" s="1"/>
  <c r="I34" i="2" s="1"/>
  <c r="J34" i="2" s="1"/>
  <c r="K34" i="2" s="1"/>
  <c r="C27" i="2"/>
  <c r="E27" i="2" s="1"/>
  <c r="G27" i="2" s="1"/>
  <c r="I27" i="2" s="1"/>
  <c r="J27" i="2" s="1"/>
  <c r="K27" i="2" s="1"/>
  <c r="C28" i="2"/>
  <c r="E28" i="2" s="1"/>
  <c r="G28" i="2" s="1"/>
  <c r="I28" i="2" s="1"/>
  <c r="J28" i="2" s="1"/>
  <c r="K28" i="2" s="1"/>
  <c r="C29" i="2"/>
  <c r="E29" i="2" s="1"/>
  <c r="G29" i="2" s="1"/>
  <c r="I29" i="2" s="1"/>
  <c r="J29" i="2" s="1"/>
  <c r="K29" i="2" s="1"/>
  <c r="C30" i="2"/>
  <c r="E30" i="2" s="1"/>
  <c r="G30" i="2" s="1"/>
  <c r="I30" i="2" s="1"/>
  <c r="J30" i="2" s="1"/>
  <c r="K30" i="2" s="1"/>
  <c r="C31" i="2"/>
  <c r="E31" i="2" s="1"/>
  <c r="G31" i="2" s="1"/>
  <c r="I31" i="2" s="1"/>
  <c r="J31" i="2" s="1"/>
  <c r="K31" i="2" s="1"/>
  <c r="C32" i="2"/>
  <c r="C33" i="2"/>
  <c r="C26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A43" i="2"/>
  <c r="A42" i="2"/>
  <c r="A35" i="2"/>
  <c r="A36" i="2"/>
  <c r="A37" i="2"/>
  <c r="A38" i="2"/>
  <c r="A39" i="2"/>
  <c r="A40" i="2"/>
  <c r="A41" i="2"/>
  <c r="A34" i="2"/>
  <c r="A27" i="2"/>
  <c r="A28" i="2"/>
  <c r="A29" i="2"/>
  <c r="A30" i="2"/>
  <c r="A31" i="2"/>
  <c r="A32" i="2"/>
  <c r="A33" i="2"/>
  <c r="A26" i="2"/>
  <c r="B43" i="4"/>
  <c r="B42" i="4"/>
  <c r="B35" i="4"/>
  <c r="B36" i="4"/>
  <c r="B37" i="4"/>
  <c r="B38" i="4"/>
  <c r="B39" i="4"/>
  <c r="B40" i="4"/>
  <c r="B41" i="4"/>
  <c r="B34" i="4"/>
  <c r="B27" i="4"/>
  <c r="B28" i="4"/>
  <c r="B29" i="4"/>
  <c r="B30" i="4"/>
  <c r="B31" i="4"/>
  <c r="B32" i="4"/>
  <c r="B33" i="4"/>
  <c r="B26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A27" i="4" l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B26" i="3"/>
  <c r="B25" i="3"/>
  <c r="A26" i="3"/>
  <c r="A25" i="3"/>
  <c r="A18" i="3"/>
  <c r="A19" i="3"/>
  <c r="A20" i="3"/>
  <c r="A21" i="3"/>
  <c r="A22" i="3"/>
  <c r="A23" i="3"/>
  <c r="A24" i="3"/>
  <c r="A17" i="3"/>
  <c r="Q43" i="1"/>
  <c r="Q39" i="1"/>
  <c r="P39" i="1"/>
  <c r="U39" i="1" l="1"/>
  <c r="AA46" i="1"/>
  <c r="Z46" i="1"/>
  <c r="Y46" i="1"/>
  <c r="X46" i="1"/>
  <c r="W46" i="1"/>
  <c r="V46" i="1"/>
  <c r="U46" i="1"/>
  <c r="T46" i="1"/>
  <c r="S46" i="1"/>
  <c r="R46" i="1"/>
  <c r="Q46" i="1"/>
  <c r="P46" i="1"/>
  <c r="AA45" i="1"/>
  <c r="Z45" i="1"/>
  <c r="Y45" i="1"/>
  <c r="X45" i="1"/>
  <c r="W45" i="1"/>
  <c r="V45" i="1"/>
  <c r="U45" i="1"/>
  <c r="T45" i="1"/>
  <c r="S45" i="1"/>
  <c r="R45" i="1"/>
  <c r="Q45" i="1"/>
  <c r="P45" i="1"/>
  <c r="AA44" i="1"/>
  <c r="Z44" i="1"/>
  <c r="Y44" i="1"/>
  <c r="X44" i="1"/>
  <c r="W44" i="1"/>
  <c r="V44" i="1"/>
  <c r="U44" i="1"/>
  <c r="T44" i="1"/>
  <c r="S44" i="1"/>
  <c r="R44" i="1"/>
  <c r="Q44" i="1"/>
  <c r="P44" i="1"/>
  <c r="AA43" i="1"/>
  <c r="Z43" i="1"/>
  <c r="Y43" i="1"/>
  <c r="X43" i="1"/>
  <c r="W43" i="1"/>
  <c r="V43" i="1"/>
  <c r="U43" i="1"/>
  <c r="T43" i="1"/>
  <c r="S43" i="1"/>
  <c r="R43" i="1"/>
  <c r="P43" i="1"/>
  <c r="AA42" i="1"/>
  <c r="Z42" i="1"/>
  <c r="Y42" i="1"/>
  <c r="X42" i="1"/>
  <c r="W42" i="1"/>
  <c r="V42" i="1"/>
  <c r="U42" i="1"/>
  <c r="T42" i="1"/>
  <c r="S42" i="1"/>
  <c r="R42" i="1"/>
  <c r="Q42" i="1"/>
  <c r="P42" i="1"/>
  <c r="AA41" i="1"/>
  <c r="Z41" i="1"/>
  <c r="Y41" i="1"/>
  <c r="X41" i="1"/>
  <c r="W41" i="1"/>
  <c r="V41" i="1"/>
  <c r="U41" i="1"/>
  <c r="T41" i="1"/>
  <c r="S41" i="1"/>
  <c r="R41" i="1"/>
  <c r="Q41" i="1"/>
  <c r="P41" i="1"/>
  <c r="AA40" i="1"/>
  <c r="Z40" i="1"/>
  <c r="Y40" i="1"/>
  <c r="X40" i="1"/>
  <c r="W40" i="1"/>
  <c r="V40" i="1"/>
  <c r="U40" i="1"/>
  <c r="T40" i="1"/>
  <c r="S40" i="1"/>
  <c r="R40" i="1"/>
  <c r="Q40" i="1"/>
  <c r="P40" i="1"/>
  <c r="AA39" i="1"/>
  <c r="Z39" i="1"/>
  <c r="Y39" i="1"/>
  <c r="X39" i="1"/>
  <c r="W39" i="1"/>
  <c r="V39" i="1"/>
  <c r="T39" i="1"/>
  <c r="S39" i="1"/>
  <c r="R39" i="1"/>
  <c r="B12" i="3" l="1"/>
  <c r="B11" i="3"/>
  <c r="A12" i="3"/>
  <c r="A11" i="3"/>
  <c r="K45" i="1" l="1"/>
  <c r="K40" i="1"/>
  <c r="K39" i="1"/>
  <c r="B39" i="1"/>
  <c r="A19" i="2" l="1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18" i="2"/>
  <c r="B18" i="2" s="1"/>
  <c r="A9" i="2"/>
  <c r="B9" i="2" s="1"/>
  <c r="A11" i="2"/>
  <c r="B11" i="2" s="1"/>
  <c r="A12" i="2"/>
  <c r="A13" i="2"/>
  <c r="A14" i="2"/>
  <c r="B14" i="2" s="1"/>
  <c r="A15" i="2"/>
  <c r="B15" i="2" s="1"/>
  <c r="A16" i="2"/>
  <c r="B16" i="2" s="1"/>
  <c r="A17" i="2"/>
  <c r="B17" i="2" s="1"/>
  <c r="B19" i="4"/>
  <c r="B20" i="4"/>
  <c r="B21" i="4"/>
  <c r="B22" i="4"/>
  <c r="B23" i="4"/>
  <c r="B24" i="4"/>
  <c r="B25" i="4"/>
  <c r="B18" i="4"/>
  <c r="B11" i="4"/>
  <c r="B12" i="4"/>
  <c r="B14" i="4"/>
  <c r="B15" i="4"/>
  <c r="B16" i="4"/>
  <c r="B17" i="4"/>
  <c r="B10" i="4"/>
  <c r="B3" i="4"/>
  <c r="B4" i="4"/>
  <c r="B5" i="4"/>
  <c r="B6" i="4"/>
  <c r="B7" i="4"/>
  <c r="B8" i="4"/>
  <c r="B9" i="4"/>
  <c r="B2" i="4"/>
  <c r="D43" i="1"/>
  <c r="C39" i="1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E2" i="4"/>
  <c r="A10" i="2" l="1"/>
  <c r="B10" i="2" s="1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2" i="2"/>
  <c r="B2" i="2" s="1"/>
  <c r="D39" i="1"/>
  <c r="E39" i="1"/>
  <c r="F39" i="1"/>
  <c r="G39" i="1"/>
  <c r="H39" i="1"/>
  <c r="I39" i="1"/>
  <c r="J39" i="1"/>
  <c r="L39" i="1"/>
  <c r="M39" i="1"/>
  <c r="C40" i="1"/>
  <c r="D40" i="1"/>
  <c r="E40" i="1"/>
  <c r="F40" i="1"/>
  <c r="G40" i="1"/>
  <c r="H40" i="1"/>
  <c r="I40" i="1"/>
  <c r="J40" i="1"/>
  <c r="L40" i="1"/>
  <c r="M40" i="1"/>
  <c r="C41" i="1"/>
  <c r="D41" i="1"/>
  <c r="E41" i="1"/>
  <c r="F41" i="1"/>
  <c r="G41" i="1"/>
  <c r="H41" i="1"/>
  <c r="I41" i="1"/>
  <c r="J41" i="1"/>
  <c r="K41" i="1"/>
  <c r="L41" i="1"/>
  <c r="M41" i="1"/>
  <c r="C42" i="1"/>
  <c r="D42" i="1"/>
  <c r="E42" i="1"/>
  <c r="F42" i="1"/>
  <c r="G42" i="1"/>
  <c r="H42" i="1"/>
  <c r="I42" i="1"/>
  <c r="J42" i="1"/>
  <c r="K42" i="1"/>
  <c r="L42" i="1"/>
  <c r="M42" i="1"/>
  <c r="C43" i="1"/>
  <c r="E43" i="1"/>
  <c r="F43" i="1"/>
  <c r="G43" i="1"/>
  <c r="H43" i="1"/>
  <c r="I43" i="1"/>
  <c r="J43" i="1"/>
  <c r="K43" i="1"/>
  <c r="L43" i="1"/>
  <c r="M43" i="1"/>
  <c r="C44" i="1"/>
  <c r="D44" i="1"/>
  <c r="E44" i="1"/>
  <c r="F44" i="1"/>
  <c r="G44" i="1"/>
  <c r="H44" i="1"/>
  <c r="I44" i="1"/>
  <c r="J44" i="1"/>
  <c r="K44" i="1"/>
  <c r="L44" i="1"/>
  <c r="M44" i="1"/>
  <c r="C45" i="1"/>
  <c r="D45" i="1"/>
  <c r="E45" i="1"/>
  <c r="F45" i="1"/>
  <c r="G45" i="1"/>
  <c r="H45" i="1"/>
  <c r="I45" i="1"/>
  <c r="J45" i="1"/>
  <c r="L45" i="1"/>
  <c r="M45" i="1"/>
  <c r="C46" i="1"/>
  <c r="D46" i="1"/>
  <c r="E46" i="1"/>
  <c r="F46" i="1"/>
  <c r="G46" i="1"/>
  <c r="H46" i="1"/>
  <c r="I46" i="1"/>
  <c r="J46" i="1"/>
  <c r="K46" i="1"/>
  <c r="L46" i="1"/>
  <c r="M46" i="1"/>
  <c r="B40" i="1"/>
  <c r="B41" i="1"/>
  <c r="B42" i="1"/>
  <c r="B43" i="1"/>
  <c r="B44" i="1"/>
  <c r="B45" i="1"/>
  <c r="C8" i="2" s="1"/>
  <c r="B46" i="1"/>
  <c r="C20" i="2" l="1"/>
  <c r="E20" i="2" s="1"/>
  <c r="G20" i="2" s="1"/>
  <c r="I20" i="2" s="1"/>
  <c r="J20" i="2" s="1"/>
  <c r="K20" i="2" s="1"/>
  <c r="A5" i="3"/>
  <c r="C22" i="2"/>
  <c r="E22" i="2" s="1"/>
  <c r="G22" i="2" s="1"/>
  <c r="I22" i="2" s="1"/>
  <c r="J22" i="2" s="1"/>
  <c r="K22" i="2" s="1"/>
  <c r="C3" i="2"/>
  <c r="E3" i="2" s="1"/>
  <c r="G3" i="2" s="1"/>
  <c r="I3" i="2" s="1"/>
  <c r="J3" i="2" s="1"/>
  <c r="K3" i="2" s="1"/>
  <c r="C14" i="2"/>
  <c r="E14" i="2" s="1"/>
  <c r="G14" i="2" s="1"/>
  <c r="I14" i="2" s="1"/>
  <c r="J14" i="2" s="1"/>
  <c r="K14" i="2" s="1"/>
  <c r="A3" i="3"/>
  <c r="C24" i="2"/>
  <c r="E24" i="2" s="1"/>
  <c r="G24" i="2" s="1"/>
  <c r="I24" i="2" s="1"/>
  <c r="J24" i="2" s="1"/>
  <c r="K24" i="2" s="1"/>
  <c r="C16" i="2"/>
  <c r="E16" i="2" s="1"/>
  <c r="G16" i="2" s="1"/>
  <c r="I16" i="2" s="1"/>
  <c r="J16" i="2" s="1"/>
  <c r="K16" i="2" s="1"/>
  <c r="A10" i="3"/>
  <c r="C18" i="2"/>
  <c r="E18" i="2" s="1"/>
  <c r="G18" i="2" s="1"/>
  <c r="I18" i="2" s="1"/>
  <c r="J18" i="2" s="1"/>
  <c r="K18" i="2" s="1"/>
  <c r="C12" i="2"/>
  <c r="E12" i="2" s="1"/>
  <c r="G12" i="2" s="1"/>
  <c r="I12" i="2" s="1"/>
  <c r="J12" i="2" s="1"/>
  <c r="K12" i="2" s="1"/>
  <c r="A6" i="3"/>
  <c r="C10" i="2"/>
  <c r="E10" i="2" s="1"/>
  <c r="G10" i="2" s="1"/>
  <c r="I10" i="2" s="1"/>
  <c r="J10" i="2" s="1"/>
  <c r="K10" i="2" s="1"/>
  <c r="C17" i="2"/>
  <c r="E17" i="2" s="1"/>
  <c r="G17" i="2" s="1"/>
  <c r="I17" i="2" s="1"/>
  <c r="J17" i="2" s="1"/>
  <c r="K17" i="2" s="1"/>
  <c r="C13" i="2"/>
  <c r="E13" i="2" s="1"/>
  <c r="G13" i="2" s="1"/>
  <c r="I13" i="2" s="1"/>
  <c r="J13" i="2" s="1"/>
  <c r="K13" i="2" s="1"/>
  <c r="C7" i="2"/>
  <c r="E7" i="2" s="1"/>
  <c r="G7" i="2" s="1"/>
  <c r="I7" i="2" s="1"/>
  <c r="J7" i="2" s="1"/>
  <c r="K7" i="2" s="1"/>
  <c r="C5" i="2"/>
  <c r="E5" i="2" s="1"/>
  <c r="G5" i="2" s="1"/>
  <c r="I5" i="2" s="1"/>
  <c r="J5" i="2" s="1"/>
  <c r="K5" i="2" s="1"/>
  <c r="C6" i="2"/>
  <c r="E6" i="2" s="1"/>
  <c r="G6" i="2" s="1"/>
  <c r="I6" i="2" s="1"/>
  <c r="J6" i="2" s="1"/>
  <c r="K6" i="2" s="1"/>
  <c r="C4" i="2"/>
  <c r="E4" i="2" s="1"/>
  <c r="G4" i="2" s="1"/>
  <c r="I4" i="2" s="1"/>
  <c r="J4" i="2" s="1"/>
  <c r="K4" i="2" s="1"/>
  <c r="A4" i="3"/>
  <c r="C21" i="2"/>
  <c r="E21" i="2" s="1"/>
  <c r="G21" i="2" s="1"/>
  <c r="I21" i="2" s="1"/>
  <c r="J21" i="2" s="1"/>
  <c r="K21" i="2" s="1"/>
  <c r="A7" i="3"/>
  <c r="E8" i="2"/>
  <c r="G8" i="2" s="1"/>
  <c r="I8" i="2" s="1"/>
  <c r="J8" i="2" s="1"/>
  <c r="K8" i="2" s="1"/>
  <c r="C9" i="2" l="1"/>
  <c r="E9" i="2" s="1"/>
  <c r="G9" i="2" s="1"/>
  <c r="I9" i="2" s="1"/>
  <c r="J9" i="2" s="1"/>
  <c r="K9" i="2" s="1"/>
  <c r="A8" i="3"/>
  <c r="C23" i="2"/>
  <c r="E23" i="2" s="1"/>
  <c r="G23" i="2" s="1"/>
  <c r="I23" i="2" s="1"/>
  <c r="J23" i="2" s="1"/>
  <c r="K23" i="2" s="1"/>
  <c r="C25" i="2"/>
  <c r="E25" i="2" s="1"/>
  <c r="G25" i="2" s="1"/>
  <c r="I25" i="2" s="1"/>
  <c r="J25" i="2" s="1"/>
  <c r="K25" i="2" s="1"/>
  <c r="C11" i="2"/>
  <c r="E11" i="2" s="1"/>
  <c r="G11" i="2" s="1"/>
  <c r="I11" i="2" s="1"/>
  <c r="J11" i="2" s="1"/>
  <c r="K11" i="2" s="1"/>
  <c r="A9" i="3"/>
  <c r="C19" i="2"/>
  <c r="E19" i="2" s="1"/>
  <c r="G19" i="2" s="1"/>
  <c r="I19" i="2" s="1"/>
  <c r="J19" i="2" s="1"/>
  <c r="K19" i="2" s="1"/>
  <c r="C15" i="2"/>
  <c r="E15" i="2" s="1"/>
  <c r="G15" i="2" s="1"/>
  <c r="I15" i="2" s="1"/>
  <c r="J15" i="2" s="1"/>
  <c r="K15" i="2" s="1"/>
  <c r="C2" i="2"/>
  <c r="E2" i="2" l="1"/>
  <c r="G2" i="2" s="1"/>
  <c r="I2" i="2" l="1"/>
  <c r="J2" i="2" s="1"/>
  <c r="K2" i="2" s="1"/>
  <c r="O13" i="1" l="1"/>
</calcChain>
</file>

<file path=xl/sharedStrings.xml><?xml version="1.0" encoding="utf-8"?>
<sst xmlns="http://schemas.openxmlformats.org/spreadsheetml/2006/main" count="312" uniqueCount="102">
  <si>
    <t>A</t>
  </si>
  <si>
    <t>B</t>
  </si>
  <si>
    <t>C</t>
  </si>
  <si>
    <t>D</t>
  </si>
  <si>
    <t>E</t>
  </si>
  <si>
    <t>F</t>
  </si>
  <si>
    <t>G</t>
  </si>
  <si>
    <t>H</t>
  </si>
  <si>
    <t>ABSORBANCE 450nm</t>
  </si>
  <si>
    <t>ABSORBANCE 620nm</t>
  </si>
  <si>
    <t>ABSORBANCE CORRIGEE</t>
  </si>
  <si>
    <t>PLAN DE PLAQUE</t>
  </si>
  <si>
    <t>numero_centre</t>
  </si>
  <si>
    <t>abs_moyenne</t>
  </si>
  <si>
    <t>absorbance_moyenne</t>
  </si>
  <si>
    <t>equation</t>
  </si>
  <si>
    <t>quantif_ng.mL-1</t>
  </si>
  <si>
    <t>facteur de dilution</t>
  </si>
  <si>
    <t>quantif_corr_ng.mL-1</t>
  </si>
  <si>
    <t>ng.µL</t>
  </si>
  <si>
    <t>tube</t>
  </si>
  <si>
    <t>poids_tube_(g)</t>
  </si>
  <si>
    <t>poids_tube_et_crotte_(g)</t>
  </si>
  <si>
    <t>poids_réel_crotte_(g)</t>
  </si>
  <si>
    <t>µg</t>
  </si>
  <si>
    <t>corrigpoids_µg.g</t>
  </si>
  <si>
    <t>code_echantillon</t>
  </si>
  <si>
    <t>concentration_ng.mL-1</t>
  </si>
  <si>
    <t>NEG ELISA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</si>
  <si>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</si>
  <si>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</si>
  <si>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</si>
  <si>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</si>
  <si>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</si>
  <si>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</si>
  <si>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</si>
  <si>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</si>
  <si>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</si>
  <si>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</si>
  <si>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S8 bis</t>
  </si>
  <si>
    <t>PLAQUE 1</t>
  </si>
  <si>
    <t>S1bis</t>
  </si>
  <si>
    <t>S2bis</t>
  </si>
  <si>
    <t>S9bis</t>
  </si>
  <si>
    <t>S3bis</t>
  </si>
  <si>
    <t>S10bis</t>
  </si>
  <si>
    <t>S4bis</t>
  </si>
  <si>
    <t>S5bis</t>
  </si>
  <si>
    <t>S6bis</t>
  </si>
  <si>
    <t>S7bis</t>
  </si>
  <si>
    <t>NCHA100078_FA-1</t>
  </si>
  <si>
    <t>NCHA100090_FA-1</t>
  </si>
  <si>
    <t>NCHA100099_FA-1</t>
  </si>
  <si>
    <t>NCHA100079_FA-1</t>
  </si>
  <si>
    <t>NCHA100091_FA-1</t>
  </si>
  <si>
    <t>NCHA100101_FA-1</t>
  </si>
  <si>
    <t>NCHA100081_FA-1</t>
  </si>
  <si>
    <t>vide</t>
  </si>
  <si>
    <t>NCHA100102_FA-1</t>
  </si>
  <si>
    <t>NCHA100082_FA-1</t>
  </si>
  <si>
    <t>NCHA100093_FA-1</t>
  </si>
  <si>
    <t>NCHA100103_FA-1</t>
  </si>
  <si>
    <t>NCHA100085_FA-1</t>
  </si>
  <si>
    <t>NCHA100094_FA-1</t>
  </si>
  <si>
    <t>NCHA100106_FA-1</t>
  </si>
  <si>
    <t>NCHA100086_FA-1</t>
  </si>
  <si>
    <t>NCHA100095_FA-1</t>
  </si>
  <si>
    <t>NCHA100107_FA-1</t>
  </si>
  <si>
    <t>NCHA100087_FA-1</t>
  </si>
  <si>
    <t>NCHA100096_FA-1</t>
  </si>
  <si>
    <t>NCHA100108_FA-1</t>
  </si>
  <si>
    <t>NCHA100088_FA-1</t>
  </si>
  <si>
    <t>NCHA100098_FA-1</t>
  </si>
  <si>
    <t>NCHA100109_FA-1</t>
  </si>
  <si>
    <t>ABSORBANCE CORRIGEE AVEC NEGATIF</t>
  </si>
  <si>
    <t>plaque</t>
  </si>
  <si>
    <t>PLAQUE 10</t>
  </si>
  <si>
    <t>NCHA100315_FA-1</t>
  </si>
  <si>
    <t>NCHA100323_FA-1</t>
  </si>
  <si>
    <t>NCHA100331_FA-1</t>
  </si>
  <si>
    <t>NCHA100316_FA-1</t>
  </si>
  <si>
    <t>NCHA100324_FA-1</t>
  </si>
  <si>
    <t>NCHA100092_FA-1</t>
  </si>
  <si>
    <t>NCHA100317_FA-1</t>
  </si>
  <si>
    <t>NCHA100325_FA-1</t>
  </si>
  <si>
    <t>NCHA100318_FA-1</t>
  </si>
  <si>
    <t>NCHA100326_FA-1</t>
  </si>
  <si>
    <t>NCHA100319_FA-1</t>
  </si>
  <si>
    <t>NCHA100327_FA-1</t>
  </si>
  <si>
    <t>NCHA100320_FA-1</t>
  </si>
  <si>
    <t>NCHA100328_FA-1</t>
  </si>
  <si>
    <t>NCHA100321_FA-1</t>
  </si>
  <si>
    <t>NCHA100329_FA-1</t>
  </si>
  <si>
    <t>NCHA100322_FA-1</t>
  </si>
  <si>
    <t>NCHA100330_FA-1</t>
  </si>
  <si>
    <t>corrigpoids_ng.g</t>
  </si>
  <si>
    <t>ECART TYPE</t>
  </si>
  <si>
    <t>Surnagent faible</t>
  </si>
  <si>
    <t>volume-crotte_µL</t>
  </si>
  <si>
    <t>Vf</t>
  </si>
  <si>
    <t>facteur_dilution_elution</t>
  </si>
  <si>
    <t>facteur_dilution_final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</si>
</sst>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indexed="64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128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0" xfId="0" applyFill="1"/>
    <xf numFmtId="0" fontId="0" fillId="6" borderId="0" xfId="0" applyFill="1"/>
    <xf numFmtId="165" fontId="0" fillId="0" borderId="0" xfId="0" applyNumberFormat="1"/>
    <xf numFmtId="0" fontId="0" fillId="7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0" fillId="0" borderId="0" xfId="0" applyNumberFormat="1"/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66" fontId="0" fillId="13" borderId="1" xfId="0" applyNumberFormat="1" applyFill="1" applyBorder="1" applyAlignment="1">
      <alignment horizontal="right" vertical="center"/>
    </xf>
    <xf numFmtId="166" fontId="0" fillId="4" borderId="1" xfId="0" applyNumberFormat="1" applyFill="1" applyBorder="1" applyAlignment="1">
      <alignment horizontal="right" vertical="center"/>
    </xf>
    <xf numFmtId="166" fontId="0" fillId="2" borderId="1" xfId="0" applyNumberFormat="1" applyFill="1" applyBorder="1" applyAlignment="1">
      <alignment horizontal="right" vertical="center"/>
    </xf>
    <xf numFmtId="166" fontId="0" fillId="3" borderId="1" xfId="0" applyNumberFormat="1" applyFill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166" fontId="0" fillId="4" borderId="1" xfId="0" applyNumberFormat="1" applyFill="1" applyBorder="1"/>
    <xf numFmtId="166" fontId="0" fillId="2" borderId="1" xfId="0" applyNumberFormat="1" applyFill="1" applyBorder="1"/>
    <xf numFmtId="166" fontId="0" fillId="4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13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1" fillId="0" borderId="1" xfId="0" applyFont="1" applyBorder="1"/>
    <xf numFmtId="0" fontId="1" fillId="8" borderId="3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9" borderId="0" xfId="0" applyFont="1" applyFill="1" applyAlignment="1">
      <alignment horizontal="left" vertical="center"/>
    </xf>
    <xf numFmtId="164" fontId="0" fillId="9" borderId="0" xfId="0" applyNumberFormat="1" applyFont="1" applyFill="1" applyBorder="1" applyAlignment="1">
      <alignment horizontal="center" vertical="center"/>
    </xf>
    <xf numFmtId="164" fontId="0" fillId="9" borderId="0" xfId="0" applyNumberFormat="1" applyFill="1"/>
    <xf numFmtId="0" fontId="0" fillId="9" borderId="0" xfId="0" applyFill="1"/>
    <xf numFmtId="165" fontId="0" fillId="9" borderId="0" xfId="0" applyNumberFormat="1" applyFill="1"/>
    <xf numFmtId="165" fontId="0" fillId="0" borderId="0" xfId="0" applyNumberFormat="1" applyFill="1"/>
    <xf numFmtId="0" fontId="0" fillId="16" borderId="1" xfId="0" applyFill="1" applyBorder="1" applyAlignment="1">
      <alignment horizontal="center" vertical="center"/>
    </xf>
    <xf numFmtId="166" fontId="0" fillId="16" borderId="1" xfId="0" applyNumberFormat="1" applyFill="1" applyBorder="1" applyAlignment="1">
      <alignment horizontal="right" vertical="center"/>
    </xf>
    <xf numFmtId="166" fontId="0" fillId="16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6" fontId="0" fillId="9" borderId="1" xfId="0" applyNumberFormat="1" applyFill="1" applyBorder="1" applyAlignment="1">
      <alignment horizontal="right" vertical="center"/>
    </xf>
    <xf numFmtId="166" fontId="0" fillId="9" borderId="1" xfId="0" applyNumberFormat="1" applyFill="1" applyBorder="1" applyAlignment="1">
      <alignment horizontal="center" vertical="center"/>
    </xf>
    <xf numFmtId="0" fontId="0" fillId="16" borderId="0" xfId="0" applyFill="1"/>
    <xf numFmtId="165" fontId="0" fillId="16" borderId="0" xfId="0" applyNumberFormat="1" applyFill="1"/>
    <xf numFmtId="0" fontId="0" fillId="0" borderId="2" xfId="0" applyFill="1" applyBorder="1" applyAlignment="1">
      <alignment horizontal="center" vertical="center"/>
    </xf>
    <xf numFmtId="166" fontId="0" fillId="15" borderId="1" xfId="0" applyNumberFormat="1" applyFill="1" applyBorder="1" applyAlignment="1">
      <alignment horizontal="center" vertical="center"/>
    </xf>
    <xf numFmtId="166" fontId="0" fillId="1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3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64" fontId="0" fillId="0" borderId="4" xfId="0" applyNumberFormat="1" applyFont="1" applyFill="1" applyBorder="1" applyAlignment="1">
      <alignment horizontal="center" vertical="center"/>
    </xf>
    <xf numFmtId="164" fontId="0" fillId="0" borderId="4" xfId="0" applyNumberFormat="1" applyBorder="1"/>
    <xf numFmtId="0" fontId="0" fillId="0" borderId="4" xfId="0" applyBorder="1"/>
    <xf numFmtId="164" fontId="0" fillId="0" borderId="0" xfId="0" applyNumberFormat="1" applyBorder="1"/>
    <xf numFmtId="164" fontId="0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1" fillId="0" borderId="4" xfId="0" applyFont="1" applyFill="1" applyBorder="1" applyAlignment="1">
      <alignment horizontal="left" vertical="center"/>
    </xf>
    <xf numFmtId="164" fontId="0" fillId="0" borderId="4" xfId="0" applyNumberFormat="1" applyFont="1" applyBorder="1" applyAlignment="1">
      <alignment horizontal="center" vertical="center"/>
    </xf>
    <xf numFmtId="0" fontId="0" fillId="0" borderId="4" xfId="0" applyFill="1" applyBorder="1"/>
    <xf numFmtId="165" fontId="0" fillId="0" borderId="4" xfId="0" applyNumberFormat="1" applyBorder="1"/>
    <xf numFmtId="0" fontId="0" fillId="0" borderId="0" xfId="0" applyFont="1" applyBorder="1" applyAlignment="1">
      <alignment horizontal="left" vertical="center"/>
    </xf>
    <xf numFmtId="0" fontId="0" fillId="0" borderId="0" xfId="0" applyFont="1"/>
    <xf numFmtId="165" fontId="0" fillId="0" borderId="0" xfId="0" applyNumberFormat="1" applyBorder="1"/>
    <xf numFmtId="0" fontId="0" fillId="0" borderId="5" xfId="0" applyBorder="1"/>
    <xf numFmtId="166" fontId="0" fillId="7" borderId="1" xfId="0" applyNumberFormat="1" applyFill="1" applyBorder="1" applyAlignment="1">
      <alignment horizontal="right" vertical="center"/>
    </xf>
    <xf numFmtId="166" fontId="0" fillId="7" borderId="1" xfId="0" applyNumberForma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164" fontId="0" fillId="17" borderId="0" xfId="0" applyNumberFormat="1" applyFont="1" applyFill="1" applyBorder="1" applyAlignment="1">
      <alignment horizontal="center" vertical="center"/>
    </xf>
    <xf numFmtId="164" fontId="0" fillId="0" borderId="0" xfId="0" applyNumberFormat="1" applyFill="1"/>
    <xf numFmtId="0" fontId="0" fillId="3" borderId="1" xfId="0" applyFill="1" applyBorder="1"/>
    <xf numFmtId="0" fontId="0" fillId="3" borderId="1" xfId="0" applyNumberFormat="1" applyFill="1" applyBorder="1"/>
    <xf numFmtId="0" fontId="0" fillId="14" borderId="1" xfId="0" applyFill="1" applyBorder="1"/>
    <xf numFmtId="0" fontId="0" fillId="13" borderId="1" xfId="0" applyFill="1" applyBorder="1"/>
    <xf numFmtId="166" fontId="0" fillId="18" borderId="0" xfId="0" applyNumberFormat="1" applyFill="1"/>
    <xf numFmtId="166" fontId="2" fillId="9" borderId="1" xfId="0" applyNumberFormat="1" applyFont="1" applyFill="1" applyBorder="1"/>
    <xf numFmtId="166" fontId="2" fillId="13" borderId="1" xfId="0" applyNumberFormat="1" applyFont="1" applyFill="1" applyBorder="1"/>
    <xf numFmtId="166" fontId="2" fillId="3" borderId="1" xfId="0" applyNumberFormat="1" applyFont="1" applyFill="1" applyBorder="1"/>
    <xf numFmtId="166" fontId="2" fillId="0" borderId="1" xfId="0" applyNumberFormat="1" applyFont="1" applyFill="1" applyBorder="1"/>
    <xf numFmtId="164" fontId="0" fillId="4" borderId="1" xfId="0" applyNumberFormat="1" applyFill="1" applyBorder="1" applyAlignment="1">
      <alignment horizontal="center"/>
    </xf>
    <xf numFmtId="164" fontId="0" fillId="18" borderId="0" xfId="0" applyNumberFormat="1" applyFill="1"/>
    <xf numFmtId="164" fontId="0" fillId="2" borderId="1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6" fontId="0" fillId="10" borderId="1" xfId="0" applyNumberFormat="1" applyFill="1" applyBorder="1" applyAlignment="1">
      <alignment horizontal="right" vertical="center"/>
    </xf>
    <xf numFmtId="166" fontId="0" fillId="10" borderId="1" xfId="0" applyNumberFormat="1" applyFill="1" applyBorder="1" applyAlignment="1">
      <alignment horizontal="center" vertical="center"/>
    </xf>
    <xf numFmtId="166" fontId="2" fillId="2" borderId="1" xfId="0" applyNumberFormat="1" applyFont="1" applyFill="1" applyBorder="1"/>
    <xf numFmtId="166" fontId="0" fillId="19" borderId="1" xfId="0" applyNumberFormat="1" applyFill="1" applyBorder="1"/>
    <xf numFmtId="166" fontId="0" fillId="10" borderId="1" xfId="0" applyNumberFormat="1" applyFill="1" applyBorder="1"/>
    <xf numFmtId="0" fontId="1" fillId="8" borderId="6" xfId="0" applyFont="1" applyFill="1" applyBorder="1" applyAlignment="1">
      <alignment horizontal="center" vertical="center"/>
    </xf>
    <xf numFmtId="2" fontId="0" fillId="0" borderId="0" xfId="0" applyNumberFormat="1"/>
    <xf numFmtId="164" fontId="0" fillId="19" borderId="0" xfId="0" applyNumberFormat="1" applyFill="1"/>
    <xf numFmtId="0" fontId="0" fillId="19" borderId="0" xfId="0" applyFill="1"/>
    <xf numFmtId="2" fontId="0" fillId="19" borderId="0" xfId="0" applyNumberFormat="1" applyFill="1"/>
    <xf numFmtId="2" fontId="0" fillId="9" borderId="0" xfId="0" applyNumberFormat="1" applyFill="1"/>
    <xf numFmtId="0" fontId="3" fillId="12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1" fillId="11" borderId="0" xfId="0" applyFont="1" applyFill="1" applyAlignment="1">
      <alignment horizontal="center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courbe_etalon!$B$2</c:f>
              <c:strCache>
                <c:ptCount val="1"/>
                <c:pt idx="0">
                  <c:v>concentration_ng.mL-1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1490944881889764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courbe_etalon!$A$3:$A$12</c:f>
              <c:numCache>
                <c:formatCode>General</c:formatCode>
                <c:ptCount val="10"/>
                <c:pt idx="0">
                  <c:v>0.45400000000000001</c:v>
                </c:pt>
                <c:pt idx="1">
                  <c:v>0.41649999999999998</c:v>
                </c:pt>
                <c:pt idx="2">
                  <c:v>0.32150000000000001</c:v>
                </c:pt>
                <c:pt idx="3">
                  <c:v>0.25800000000000001</c:v>
                </c:pt>
                <c:pt idx="4">
                  <c:v>0.16399999999999998</c:v>
                </c:pt>
                <c:pt idx="5">
                  <c:v>9.1999999999999998E-2</c:v>
                </c:pt>
                <c:pt idx="6">
                  <c:v>4.6499999999999993E-2</c:v>
                </c:pt>
                <c:pt idx="7">
                  <c:v>2.3E-2</c:v>
                </c:pt>
                <c:pt idx="8">
                  <c:v>1.0999999999999996E-2</c:v>
                </c:pt>
                <c:pt idx="9">
                  <c:v>3.9999999999999966E-3</c:v>
                </c:pt>
              </c:numCache>
            </c:numRef>
          </c:xVal>
          <c:yVal>
            <c:numRef>
              <c:f>courbe_etalon!$B$3:$B$12</c:f>
              <c:numCache>
                <c:formatCode>General</c:formatCode>
                <c:ptCount val="10"/>
                <c:pt idx="0">
                  <c:v>25</c:v>
                </c:pt>
                <c:pt idx="1">
                  <c:v>12.5</c:v>
                </c:pt>
                <c:pt idx="2">
                  <c:v>6.25</c:v>
                </c:pt>
                <c:pt idx="3">
                  <c:v>3.125</c:v>
                </c:pt>
                <c:pt idx="4">
                  <c:v>1.56</c:v>
                </c:pt>
                <c:pt idx="5">
                  <c:v>0.78</c:v>
                </c:pt>
                <c:pt idx="6">
                  <c:v>0.39</c:v>
                </c:pt>
                <c:pt idx="7">
                  <c:v>0.19500000000000001</c:v>
                </c:pt>
                <c:pt idx="8">
                  <c:v>9.7500000000000003E-2</c:v>
                </c:pt>
                <c:pt idx="9">
                  <c:v>4.8750000000000002E-2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8-494A-BA34-8AA376CDF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232576"/>
        <c:axId val="1661223008"/>
      </c:scatterChart>
      <c:valAx>
        <c:axId val="16612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1223008"/>
        <c:crosses val="autoZero"/>
        <c:crossBetween val="midCat"/>
      </c:valAx>
      <c:valAx>
        <c:axId val="16612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123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courbe_etalon!$B$16</c:f>
              <c:strCache>
                <c:ptCount val="1"/>
                <c:pt idx="0">
                  <c:v>concentration_ng.mL-1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courbe_etalon!$A$17:$A$26</c:f>
              <c:numCache>
                <c:formatCode>General</c:formatCode>
                <c:ptCount val="10"/>
                <c:pt idx="0">
                  <c:v>0.49399999999999999</c:v>
                </c:pt>
                <c:pt idx="1">
                  <c:v>0.44450000000000001</c:v>
                </c:pt>
                <c:pt idx="2">
                  <c:v>0.35150000000000003</c:v>
                </c:pt>
                <c:pt idx="3">
                  <c:v>0.24199999999999997</c:v>
                </c:pt>
                <c:pt idx="4">
                  <c:v>0.15899999999999997</c:v>
                </c:pt>
                <c:pt idx="5">
                  <c:v>9.6500000000000002E-2</c:v>
                </c:pt>
                <c:pt idx="6">
                  <c:v>4.9499999999999995E-2</c:v>
                </c:pt>
                <c:pt idx="7">
                  <c:v>2.3E-2</c:v>
                </c:pt>
                <c:pt idx="8">
                  <c:v>1.0499999999999995E-2</c:v>
                </c:pt>
                <c:pt idx="9">
                  <c:v>5.4999999999999979E-3</c:v>
                </c:pt>
              </c:numCache>
            </c:numRef>
          </c:xVal>
          <c:yVal>
            <c:numRef>
              <c:f>courbe_etalon!$B$17:$B$26</c:f>
              <c:numCache>
                <c:formatCode>General</c:formatCode>
                <c:ptCount val="10"/>
                <c:pt idx="0">
                  <c:v>25</c:v>
                </c:pt>
                <c:pt idx="1">
                  <c:v>12.5</c:v>
                </c:pt>
                <c:pt idx="2">
                  <c:v>6.25</c:v>
                </c:pt>
                <c:pt idx="3">
                  <c:v>3.125</c:v>
                </c:pt>
                <c:pt idx="4">
                  <c:v>1.56</c:v>
                </c:pt>
                <c:pt idx="5">
                  <c:v>0.78</c:v>
                </c:pt>
                <c:pt idx="6">
                  <c:v>0.39</c:v>
                </c:pt>
                <c:pt idx="7">
                  <c:v>0.19500000000000001</c:v>
                </c:pt>
                <c:pt idx="8">
                  <c:v>9.7500000000000003E-2</c:v>
                </c:pt>
                <c:pt idx="9">
                  <c:v>4.8750000000000002E-2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1-49C1-9A67-2501DAF60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430208"/>
        <c:axId val="1595431040"/>
      </c:scatterChart>
      <c:valAx>
        <c:axId val="15954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431040"/>
        <c:crosses val="autoZero"/>
        <c:crossBetween val="midCat"/>
      </c:valAx>
      <c:valAx>
        <c:axId val="15954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4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176212</xdr:colOff>
      <xdr:row>1</xdr:row>
      <xdr:rowOff>28575</xdr:rowOff>
    </xdr:from>
    <xdr:to>
      <xdr:col>11</xdr:col>
      <xdr:colOff>366712</xdr:colOff>
      <xdr:row>11</xdr:row>
      <xdr:rowOff>66675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14</xdr:row>
      <xdr:rowOff>104775</xdr:rowOff>
    </xdr:from>
    <xdr:to>
      <xdr:col>11</xdr:col>
      <xdr:colOff>685800</xdr:colOff>
      <xdr:row>25</xdr:row>
      <xdr:rowOff>129540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zoomScale="70" zoomScaleNormal="70" workbookViewId="0">
      <selection activeCell="B36" sqref="B36"/>
    </sheetView>
  </sheetViews>
  <sheetFormatPr baseColWidth="10" defaultRowHeight="15" x14ac:dyDescent="0.25"/>
  <cols>
    <col min="1" max="9" width="16.7109375" customWidth="1"/>
    <col min="10" max="10" width="20.140625" customWidth="1"/>
    <col min="11" max="35" width="16.7109375" customWidth="1"/>
  </cols>
  <sheetData>
    <row r="1" spans="1:27" ht="15.75" x14ac:dyDescent="0.25">
      <c r="A1" s="122" t="s">
        <v>40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O1" s="122" t="s">
        <v>76</v>
      </c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</row>
    <row r="3" spans="1:27" x14ac:dyDescent="0.25">
      <c r="A3" s="22" t="s">
        <v>11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O3" s="22" t="s">
        <v>11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9"/>
      <c r="B4" s="10">
        <v>1</v>
      </c>
      <c r="C4" s="10">
        <v>2</v>
      </c>
      <c r="D4" s="10">
        <v>3</v>
      </c>
      <c r="E4" s="11">
        <v>4</v>
      </c>
      <c r="F4" s="11">
        <v>5</v>
      </c>
      <c r="G4" s="11">
        <v>6</v>
      </c>
      <c r="H4" s="10">
        <v>7</v>
      </c>
      <c r="I4" s="10">
        <v>8</v>
      </c>
      <c r="J4" s="10">
        <v>9</v>
      </c>
      <c r="K4" s="12">
        <v>10</v>
      </c>
      <c r="L4" s="12">
        <v>11</v>
      </c>
      <c r="M4" s="12">
        <v>12</v>
      </c>
      <c r="O4" s="9"/>
      <c r="P4" s="10">
        <v>1</v>
      </c>
      <c r="Q4" s="10">
        <v>2</v>
      </c>
      <c r="R4" s="10">
        <v>3</v>
      </c>
      <c r="S4" s="11">
        <v>4</v>
      </c>
      <c r="T4" s="11">
        <v>5</v>
      </c>
      <c r="U4" s="11">
        <v>6</v>
      </c>
      <c r="V4" s="10">
        <v>7</v>
      </c>
      <c r="W4" s="10">
        <v>8</v>
      </c>
      <c r="X4" s="10">
        <v>9</v>
      </c>
      <c r="Y4" s="12">
        <v>10</v>
      </c>
      <c r="Z4" s="12">
        <v>11</v>
      </c>
      <c r="AA4" s="12">
        <v>12</v>
      </c>
    </row>
    <row r="5" spans="1:27" x14ac:dyDescent="0.25">
      <c r="A5" s="9" t="s">
        <v>0</v>
      </c>
      <c r="B5" s="10" t="s">
        <v>50</v>
      </c>
      <c r="C5" s="10" t="s">
        <v>50</v>
      </c>
      <c r="D5" s="10" t="s">
        <v>50</v>
      </c>
      <c r="E5" s="19" t="s">
        <v>51</v>
      </c>
      <c r="F5" s="19" t="s">
        <v>51</v>
      </c>
      <c r="G5" s="19" t="s">
        <v>51</v>
      </c>
      <c r="H5" s="10" t="s">
        <v>52</v>
      </c>
      <c r="I5" s="10" t="s">
        <v>52</v>
      </c>
      <c r="J5" s="10" t="s">
        <v>52</v>
      </c>
      <c r="K5" s="12" t="s">
        <v>37</v>
      </c>
      <c r="L5" s="12" t="s">
        <v>29</v>
      </c>
      <c r="M5" s="12" t="s">
        <v>41</v>
      </c>
      <c r="O5" s="9" t="s">
        <v>0</v>
      </c>
      <c r="P5" s="10" t="s">
        <v>77</v>
      </c>
      <c r="Q5" s="10" t="s">
        <v>77</v>
      </c>
      <c r="R5" s="10" t="s">
        <v>77</v>
      </c>
      <c r="S5" s="33" t="s">
        <v>78</v>
      </c>
      <c r="T5" s="33" t="s">
        <v>78</v>
      </c>
      <c r="U5" s="33" t="s">
        <v>78</v>
      </c>
      <c r="V5" s="10" t="s">
        <v>79</v>
      </c>
      <c r="W5" s="10" t="s">
        <v>79</v>
      </c>
      <c r="X5" s="10" t="s">
        <v>79</v>
      </c>
      <c r="Y5" s="12" t="s">
        <v>37</v>
      </c>
      <c r="Z5" s="12" t="s">
        <v>29</v>
      </c>
      <c r="AA5" s="12" t="s">
        <v>41</v>
      </c>
    </row>
    <row r="6" spans="1:27" x14ac:dyDescent="0.25">
      <c r="A6" s="9" t="s">
        <v>1</v>
      </c>
      <c r="B6" s="10" t="s">
        <v>53</v>
      </c>
      <c r="C6" s="10" t="s">
        <v>53</v>
      </c>
      <c r="D6" s="10" t="s">
        <v>53</v>
      </c>
      <c r="E6" s="19" t="s">
        <v>54</v>
      </c>
      <c r="F6" s="19" t="s">
        <v>54</v>
      </c>
      <c r="G6" s="19" t="s">
        <v>54</v>
      </c>
      <c r="H6" s="60" t="s">
        <v>55</v>
      </c>
      <c r="I6" s="60" t="s">
        <v>55</v>
      </c>
      <c r="J6" s="60" t="s">
        <v>55</v>
      </c>
      <c r="K6" s="12" t="s">
        <v>38</v>
      </c>
      <c r="L6" s="12" t="s">
        <v>30</v>
      </c>
      <c r="M6" s="12" t="s">
        <v>42</v>
      </c>
      <c r="O6" s="9" t="s">
        <v>1</v>
      </c>
      <c r="P6" s="10" t="s">
        <v>80</v>
      </c>
      <c r="Q6" s="10" t="s">
        <v>80</v>
      </c>
      <c r="R6" s="10" t="s">
        <v>80</v>
      </c>
      <c r="S6" s="33" t="s">
        <v>81</v>
      </c>
      <c r="T6" s="33" t="s">
        <v>81</v>
      </c>
      <c r="U6" s="33" t="s">
        <v>81</v>
      </c>
      <c r="V6" s="10" t="s">
        <v>82</v>
      </c>
      <c r="W6" s="10" t="s">
        <v>82</v>
      </c>
      <c r="X6" s="10" t="s">
        <v>82</v>
      </c>
      <c r="Y6" s="12" t="s">
        <v>38</v>
      </c>
      <c r="Z6" s="12" t="s">
        <v>30</v>
      </c>
      <c r="AA6" s="12" t="s">
        <v>42</v>
      </c>
    </row>
    <row r="7" spans="1:27" x14ac:dyDescent="0.25">
      <c r="A7" s="9" t="s">
        <v>2</v>
      </c>
      <c r="B7" s="10" t="s">
        <v>56</v>
      </c>
      <c r="C7" s="10" t="s">
        <v>56</v>
      </c>
      <c r="D7" s="10" t="s">
        <v>56</v>
      </c>
      <c r="E7" s="11" t="s">
        <v>60</v>
      </c>
      <c r="F7" s="11" t="s">
        <v>60</v>
      </c>
      <c r="G7" s="11" t="s">
        <v>60</v>
      </c>
      <c r="H7" s="10" t="s">
        <v>58</v>
      </c>
      <c r="I7" s="10" t="s">
        <v>58</v>
      </c>
      <c r="J7" s="10" t="s">
        <v>58</v>
      </c>
      <c r="K7" s="12" t="s">
        <v>43</v>
      </c>
      <c r="L7" s="12" t="s">
        <v>31</v>
      </c>
      <c r="M7" s="12" t="s">
        <v>44</v>
      </c>
      <c r="O7" s="9" t="s">
        <v>2</v>
      </c>
      <c r="P7" s="10" t="s">
        <v>83</v>
      </c>
      <c r="Q7" s="10" t="s">
        <v>83</v>
      </c>
      <c r="R7" s="10" t="s">
        <v>83</v>
      </c>
      <c r="S7" s="33" t="s">
        <v>84</v>
      </c>
      <c r="T7" s="33" t="s">
        <v>84</v>
      </c>
      <c r="U7" s="33" t="s">
        <v>84</v>
      </c>
      <c r="V7" s="32">
        <v>0</v>
      </c>
      <c r="W7" s="32">
        <v>0</v>
      </c>
      <c r="X7" s="32">
        <v>0</v>
      </c>
      <c r="Y7" s="12" t="s">
        <v>43</v>
      </c>
      <c r="Z7" s="12" t="s">
        <v>31</v>
      </c>
      <c r="AA7" s="12" t="s">
        <v>44</v>
      </c>
    </row>
    <row r="8" spans="1:27" x14ac:dyDescent="0.25">
      <c r="A8" s="9" t="s">
        <v>3</v>
      </c>
      <c r="B8" s="10" t="s">
        <v>59</v>
      </c>
      <c r="C8" s="10" t="s">
        <v>59</v>
      </c>
      <c r="D8" s="10" t="s">
        <v>59</v>
      </c>
      <c r="E8" s="57" t="s">
        <v>57</v>
      </c>
      <c r="F8" s="57" t="s">
        <v>57</v>
      </c>
      <c r="G8" s="57" t="s">
        <v>57</v>
      </c>
      <c r="H8" s="10" t="s">
        <v>61</v>
      </c>
      <c r="I8" s="10" t="s">
        <v>61</v>
      </c>
      <c r="J8" s="10" t="s">
        <v>61</v>
      </c>
      <c r="K8" s="12" t="s">
        <v>45</v>
      </c>
      <c r="L8" s="12" t="s">
        <v>32</v>
      </c>
      <c r="M8" s="12" t="s">
        <v>46</v>
      </c>
      <c r="O8" s="9" t="s">
        <v>3</v>
      </c>
      <c r="P8" s="10" t="s">
        <v>85</v>
      </c>
      <c r="Q8" s="10" t="s">
        <v>85</v>
      </c>
      <c r="R8" s="10" t="s">
        <v>85</v>
      </c>
      <c r="S8" s="33" t="s">
        <v>86</v>
      </c>
      <c r="T8" s="33" t="s">
        <v>86</v>
      </c>
      <c r="U8" s="33" t="s">
        <v>86</v>
      </c>
      <c r="V8" s="32">
        <v>0</v>
      </c>
      <c r="W8" s="32">
        <v>0</v>
      </c>
      <c r="X8" s="32">
        <v>0</v>
      </c>
      <c r="Y8" s="12" t="s">
        <v>45</v>
      </c>
      <c r="Z8" s="12" t="s">
        <v>32</v>
      </c>
      <c r="AA8" s="12" t="s">
        <v>46</v>
      </c>
    </row>
    <row r="9" spans="1:27" x14ac:dyDescent="0.25">
      <c r="A9" s="9" t="s">
        <v>4</v>
      </c>
      <c r="B9" s="10" t="s">
        <v>62</v>
      </c>
      <c r="C9" s="10" t="s">
        <v>62</v>
      </c>
      <c r="D9" s="10" t="s">
        <v>62</v>
      </c>
      <c r="E9" s="19" t="s">
        <v>63</v>
      </c>
      <c r="F9" s="19" t="s">
        <v>63</v>
      </c>
      <c r="G9" s="19" t="s">
        <v>63</v>
      </c>
      <c r="H9" s="46" t="s">
        <v>64</v>
      </c>
      <c r="I9" s="46" t="s">
        <v>64</v>
      </c>
      <c r="J9" s="46" t="s">
        <v>64</v>
      </c>
      <c r="K9" s="9"/>
      <c r="L9" s="12" t="s">
        <v>33</v>
      </c>
      <c r="M9" s="12" t="s">
        <v>47</v>
      </c>
      <c r="O9" s="9" t="s">
        <v>4</v>
      </c>
      <c r="P9" s="10" t="s">
        <v>87</v>
      </c>
      <c r="Q9" s="10" t="s">
        <v>87</v>
      </c>
      <c r="R9" s="10" t="s">
        <v>87</v>
      </c>
      <c r="S9" s="33" t="s">
        <v>88</v>
      </c>
      <c r="T9" s="33" t="s">
        <v>88</v>
      </c>
      <c r="U9" s="33" t="s">
        <v>88</v>
      </c>
      <c r="V9" s="32">
        <v>0</v>
      </c>
      <c r="W9" s="32">
        <v>0</v>
      </c>
      <c r="X9" s="32">
        <v>0</v>
      </c>
      <c r="Y9" s="9"/>
      <c r="Z9" s="12" t="s">
        <v>33</v>
      </c>
      <c r="AA9" s="12" t="s">
        <v>47</v>
      </c>
    </row>
    <row r="10" spans="1:27" x14ac:dyDescent="0.25">
      <c r="A10" s="9" t="s">
        <v>5</v>
      </c>
      <c r="B10" s="10" t="s">
        <v>65</v>
      </c>
      <c r="C10" s="10" t="s">
        <v>65</v>
      </c>
      <c r="D10" s="10" t="s">
        <v>65</v>
      </c>
      <c r="E10" s="19" t="s">
        <v>66</v>
      </c>
      <c r="F10" s="19" t="s">
        <v>66</v>
      </c>
      <c r="G10" s="19" t="s">
        <v>66</v>
      </c>
      <c r="H10" s="10" t="s">
        <v>67</v>
      </c>
      <c r="I10" s="10" t="s">
        <v>67</v>
      </c>
      <c r="J10" s="10" t="s">
        <v>67</v>
      </c>
      <c r="K10" s="9"/>
      <c r="L10" s="12" t="s">
        <v>34</v>
      </c>
      <c r="M10" s="12" t="s">
        <v>48</v>
      </c>
      <c r="O10" s="9" t="s">
        <v>5</v>
      </c>
      <c r="P10" s="10" t="s">
        <v>89</v>
      </c>
      <c r="Q10" s="10" t="s">
        <v>89</v>
      </c>
      <c r="R10" s="10" t="s">
        <v>89</v>
      </c>
      <c r="S10" s="33" t="s">
        <v>90</v>
      </c>
      <c r="T10" s="33" t="s">
        <v>90</v>
      </c>
      <c r="U10" s="33" t="s">
        <v>90</v>
      </c>
      <c r="V10" s="32">
        <v>0</v>
      </c>
      <c r="W10" s="32">
        <v>0</v>
      </c>
      <c r="X10" s="32">
        <v>0</v>
      </c>
      <c r="Y10" s="9"/>
      <c r="Z10" s="12" t="s">
        <v>34</v>
      </c>
      <c r="AA10" s="12" t="s">
        <v>48</v>
      </c>
    </row>
    <row r="11" spans="1:27" x14ac:dyDescent="0.25">
      <c r="A11" s="9" t="s">
        <v>6</v>
      </c>
      <c r="B11" s="10" t="s">
        <v>68</v>
      </c>
      <c r="C11" s="10" t="s">
        <v>68</v>
      </c>
      <c r="D11" s="10" t="s">
        <v>68</v>
      </c>
      <c r="E11" s="19" t="s">
        <v>69</v>
      </c>
      <c r="F11" s="19" t="s">
        <v>69</v>
      </c>
      <c r="G11" s="19" t="s">
        <v>69</v>
      </c>
      <c r="H11" s="10" t="s">
        <v>70</v>
      </c>
      <c r="I11" s="10" t="s">
        <v>70</v>
      </c>
      <c r="J11" s="10" t="s">
        <v>70</v>
      </c>
      <c r="K11" s="31" t="s">
        <v>28</v>
      </c>
      <c r="L11" s="12" t="s">
        <v>35</v>
      </c>
      <c r="M11" s="12" t="s">
        <v>49</v>
      </c>
      <c r="O11" s="9" t="s">
        <v>6</v>
      </c>
      <c r="P11" s="10" t="s">
        <v>91</v>
      </c>
      <c r="Q11" s="10" t="s">
        <v>91</v>
      </c>
      <c r="R11" s="10" t="s">
        <v>91</v>
      </c>
      <c r="S11" s="19" t="s">
        <v>92</v>
      </c>
      <c r="T11" s="19" t="s">
        <v>92</v>
      </c>
      <c r="U11" s="19" t="s">
        <v>92</v>
      </c>
      <c r="V11" s="32">
        <v>0</v>
      </c>
      <c r="W11" s="32">
        <v>0</v>
      </c>
      <c r="X11" s="32">
        <v>0</v>
      </c>
      <c r="Y11" s="31" t="s">
        <v>28</v>
      </c>
      <c r="Z11" s="12" t="s">
        <v>35</v>
      </c>
      <c r="AA11" s="12" t="s">
        <v>49</v>
      </c>
    </row>
    <row r="12" spans="1:27" x14ac:dyDescent="0.25">
      <c r="A12" s="9" t="s">
        <v>7</v>
      </c>
      <c r="B12" s="10" t="s">
        <v>71</v>
      </c>
      <c r="C12" s="10" t="s">
        <v>71</v>
      </c>
      <c r="D12" s="10" t="s">
        <v>71</v>
      </c>
      <c r="E12" s="19" t="s">
        <v>72</v>
      </c>
      <c r="F12" s="19" t="s">
        <v>72</v>
      </c>
      <c r="G12" s="19" t="s">
        <v>72</v>
      </c>
      <c r="H12" s="10" t="s">
        <v>73</v>
      </c>
      <c r="I12" s="10" t="s">
        <v>73</v>
      </c>
      <c r="J12" s="10" t="s">
        <v>73</v>
      </c>
      <c r="K12" s="31" t="s">
        <v>28</v>
      </c>
      <c r="L12" s="12" t="s">
        <v>36</v>
      </c>
      <c r="M12" s="12" t="s">
        <v>39</v>
      </c>
      <c r="O12" s="9" t="s">
        <v>7</v>
      </c>
      <c r="P12" s="10" t="s">
        <v>93</v>
      </c>
      <c r="Q12" s="10" t="s">
        <v>93</v>
      </c>
      <c r="R12" s="10" t="s">
        <v>93</v>
      </c>
      <c r="S12" s="19" t="s">
        <v>94</v>
      </c>
      <c r="T12" s="19" t="s">
        <v>94</v>
      </c>
      <c r="U12" s="19" t="s">
        <v>94</v>
      </c>
      <c r="V12" s="32">
        <v>0</v>
      </c>
      <c r="W12" s="32">
        <v>0</v>
      </c>
      <c r="X12" s="32">
        <v>0</v>
      </c>
      <c r="Y12" s="31" t="s">
        <v>28</v>
      </c>
      <c r="Z12" s="12" t="s">
        <v>36</v>
      </c>
      <c r="AA12" s="12" t="s">
        <v>39</v>
      </c>
    </row>
    <row r="13" spans="1:27" x14ac:dyDescent="0.25">
      <c r="A13" s="1"/>
      <c r="H13" s="47" t="s">
        <v>97</v>
      </c>
      <c r="O13" s="1">
        <f ca="1">absorbances!O16:AA24+absorbances!O13</f>
        <v>0</v>
      </c>
      <c r="V13" s="65"/>
    </row>
    <row r="14" spans="1:27" x14ac:dyDescent="0.25">
      <c r="A14" s="1"/>
      <c r="O14" s="1"/>
    </row>
    <row r="15" spans="1:27" x14ac:dyDescent="0.25">
      <c r="A15" s="20" t="s">
        <v>8</v>
      </c>
      <c r="B15" s="3"/>
      <c r="C15" s="3"/>
      <c r="D15" s="3"/>
      <c r="E15" s="9"/>
      <c r="F15" s="9"/>
      <c r="G15" s="9"/>
      <c r="H15" s="9"/>
      <c r="I15" s="9"/>
      <c r="J15" s="9"/>
      <c r="K15" s="9"/>
      <c r="L15" s="9"/>
      <c r="M15" s="9"/>
      <c r="O15" s="20" t="s">
        <v>8</v>
      </c>
      <c r="P15" s="3"/>
      <c r="Q15" s="3"/>
      <c r="R15" s="3"/>
      <c r="S15" s="9"/>
      <c r="T15" s="9"/>
      <c r="U15" s="9"/>
      <c r="V15" s="9"/>
      <c r="W15" s="9"/>
      <c r="X15" s="9"/>
      <c r="Y15" s="9"/>
      <c r="Z15" s="9"/>
      <c r="AA15" s="9"/>
    </row>
    <row r="16" spans="1:27" x14ac:dyDescent="0.25">
      <c r="A16" s="9"/>
      <c r="B16" s="10">
        <v>1</v>
      </c>
      <c r="C16" s="10">
        <v>2</v>
      </c>
      <c r="D16" s="10">
        <v>3</v>
      </c>
      <c r="E16" s="11">
        <v>4</v>
      </c>
      <c r="F16" s="11">
        <v>5</v>
      </c>
      <c r="G16" s="11">
        <v>6</v>
      </c>
      <c r="H16" s="10">
        <v>7</v>
      </c>
      <c r="I16" s="10">
        <v>8</v>
      </c>
      <c r="J16" s="10">
        <v>9</v>
      </c>
      <c r="K16" s="12">
        <v>10</v>
      </c>
      <c r="L16" s="12">
        <v>11</v>
      </c>
      <c r="M16" s="12">
        <v>12</v>
      </c>
      <c r="O16" s="9"/>
      <c r="P16" s="10">
        <v>1</v>
      </c>
      <c r="Q16" s="10">
        <v>2</v>
      </c>
      <c r="R16" s="10">
        <v>3</v>
      </c>
      <c r="S16" s="11">
        <v>4</v>
      </c>
      <c r="T16" s="11">
        <v>5</v>
      </c>
      <c r="U16" s="11">
        <v>6</v>
      </c>
      <c r="V16" s="10">
        <v>7</v>
      </c>
      <c r="W16" s="10">
        <v>8</v>
      </c>
      <c r="X16" s="10">
        <v>9</v>
      </c>
      <c r="Y16" s="12">
        <v>10</v>
      </c>
      <c r="Z16" s="12">
        <v>11</v>
      </c>
      <c r="AA16" s="12">
        <v>12</v>
      </c>
    </row>
    <row r="17" spans="1:27" x14ac:dyDescent="0.25">
      <c r="A17" s="9" t="s">
        <v>0</v>
      </c>
      <c r="B17" s="35">
        <v>0.378</v>
      </c>
      <c r="C17" s="35">
        <v>0.41299999999999998</v>
      </c>
      <c r="D17" s="35">
        <v>0.33100000000000002</v>
      </c>
      <c r="E17" s="36">
        <v>0.26700000000000002</v>
      </c>
      <c r="F17" s="36">
        <v>0.32700000000000001</v>
      </c>
      <c r="G17" s="36">
        <v>0.32</v>
      </c>
      <c r="H17" s="35">
        <v>0.29799999999999999</v>
      </c>
      <c r="I17" s="35">
        <v>0.374</v>
      </c>
      <c r="J17" s="35">
        <v>0.33900000000000002</v>
      </c>
      <c r="K17" s="37">
        <v>5.1999999999999998E-2</v>
      </c>
      <c r="L17" s="37">
        <v>0.495</v>
      </c>
      <c r="M17" s="37">
        <v>0.53400000000000003</v>
      </c>
      <c r="O17" s="9" t="s">
        <v>0</v>
      </c>
      <c r="P17" s="10">
        <v>0.372</v>
      </c>
      <c r="Q17" s="10">
        <v>0.33400000000000002</v>
      </c>
      <c r="R17" s="10">
        <v>0.317</v>
      </c>
      <c r="S17" s="33">
        <v>0.32</v>
      </c>
      <c r="T17" s="33">
        <v>0.33200000000000002</v>
      </c>
      <c r="U17" s="33">
        <v>0.34699999999999998</v>
      </c>
      <c r="V17" s="10">
        <v>0.27900000000000003</v>
      </c>
      <c r="W17" s="10">
        <v>0.29499999999999998</v>
      </c>
      <c r="X17" s="10">
        <v>0.31</v>
      </c>
      <c r="Y17" s="12">
        <v>5.3999999999999999E-2</v>
      </c>
      <c r="Z17" s="12">
        <v>0.54400000000000004</v>
      </c>
      <c r="AA17" s="12">
        <v>0.53200000000000003</v>
      </c>
    </row>
    <row r="18" spans="1:27" x14ac:dyDescent="0.25">
      <c r="A18" s="9" t="s">
        <v>1</v>
      </c>
      <c r="B18" s="35">
        <v>0.375</v>
      </c>
      <c r="C18" s="35">
        <v>0.40400000000000003</v>
      </c>
      <c r="D18" s="35">
        <v>0.35299999999999998</v>
      </c>
      <c r="E18" s="36">
        <v>0.374</v>
      </c>
      <c r="F18" s="36">
        <v>0.34399999999999997</v>
      </c>
      <c r="G18" s="36">
        <v>0.29499999999999998</v>
      </c>
      <c r="H18" s="61">
        <v>4.2999999999999997E-2</v>
      </c>
      <c r="I18" s="61">
        <v>0.04</v>
      </c>
      <c r="J18" s="61">
        <v>4.2000000000000003E-2</v>
      </c>
      <c r="K18" s="37">
        <v>4.4999999999999998E-2</v>
      </c>
      <c r="L18" s="37">
        <v>0.41299999999999998</v>
      </c>
      <c r="M18" s="37">
        <v>0.53900000000000003</v>
      </c>
      <c r="O18" s="9" t="s">
        <v>1</v>
      </c>
      <c r="P18" s="10">
        <v>0.30299999999999999</v>
      </c>
      <c r="Q18" s="10">
        <v>0.26900000000000002</v>
      </c>
      <c r="R18" s="10">
        <v>0.26700000000000002</v>
      </c>
      <c r="S18" s="33">
        <v>0.26400000000000001</v>
      </c>
      <c r="T18" s="33">
        <v>0.249</v>
      </c>
      <c r="U18" s="33">
        <v>0.26800000000000002</v>
      </c>
      <c r="V18" s="10">
        <v>0.32500000000000001</v>
      </c>
      <c r="W18" s="10">
        <v>0.318</v>
      </c>
      <c r="X18" s="10">
        <v>0.30399999999999999</v>
      </c>
      <c r="Y18" s="12">
        <v>4.8000000000000001E-2</v>
      </c>
      <c r="Z18" s="12">
        <v>0.50900000000000001</v>
      </c>
      <c r="AA18" s="12">
        <v>0.46400000000000002</v>
      </c>
    </row>
    <row r="19" spans="1:27" x14ac:dyDescent="0.25">
      <c r="A19" s="9" t="s">
        <v>2</v>
      </c>
      <c r="B19" s="35">
        <v>0.42</v>
      </c>
      <c r="C19" s="35">
        <v>0.307</v>
      </c>
      <c r="D19" s="35">
        <v>0.27900000000000003</v>
      </c>
      <c r="E19" s="91">
        <v>0.26200000000000001</v>
      </c>
      <c r="F19" s="91">
        <v>0.27100000000000002</v>
      </c>
      <c r="G19" s="91">
        <v>0.252</v>
      </c>
      <c r="H19" s="35">
        <v>0.29799999999999999</v>
      </c>
      <c r="I19" s="35">
        <v>0.28899999999999998</v>
      </c>
      <c r="J19" s="35">
        <v>0.30499999999999999</v>
      </c>
      <c r="K19" s="37">
        <v>5.2999999999999999E-2</v>
      </c>
      <c r="L19" s="37">
        <v>0.34699999999999998</v>
      </c>
      <c r="M19" s="37">
        <v>0.41799999999999998</v>
      </c>
      <c r="O19" s="9" t="s">
        <v>2</v>
      </c>
      <c r="P19" s="10">
        <v>0.32500000000000001</v>
      </c>
      <c r="Q19" s="10">
        <v>0.318</v>
      </c>
      <c r="R19" s="10">
        <v>0.28699999999999998</v>
      </c>
      <c r="S19" s="33">
        <v>0.27</v>
      </c>
      <c r="T19" s="33">
        <v>0.255</v>
      </c>
      <c r="U19" s="33">
        <v>0.27800000000000002</v>
      </c>
      <c r="V19" s="7">
        <v>0.04</v>
      </c>
      <c r="W19" s="7">
        <v>4.3999999999999997E-2</v>
      </c>
      <c r="X19" s="7">
        <v>0.04</v>
      </c>
      <c r="Y19" s="12">
        <v>5.0999999999999997E-2</v>
      </c>
      <c r="Z19" s="12">
        <v>0.40400000000000003</v>
      </c>
      <c r="AA19" s="12">
        <v>0.38500000000000001</v>
      </c>
    </row>
    <row r="20" spans="1:27" x14ac:dyDescent="0.25">
      <c r="A20" s="9" t="s">
        <v>3</v>
      </c>
      <c r="B20" s="35">
        <v>0.38800000000000001</v>
      </c>
      <c r="C20" s="35">
        <v>0.33300000000000002</v>
      </c>
      <c r="D20" s="35">
        <v>0.28599999999999998</v>
      </c>
      <c r="E20" s="58">
        <v>0.04</v>
      </c>
      <c r="F20" s="58">
        <v>0.04</v>
      </c>
      <c r="G20" s="58">
        <v>0.04</v>
      </c>
      <c r="H20" s="35">
        <v>0.32700000000000001</v>
      </c>
      <c r="I20" s="35">
        <v>0.251</v>
      </c>
      <c r="J20" s="35">
        <v>0.247</v>
      </c>
      <c r="K20" s="37">
        <v>4.5999999999999999E-2</v>
      </c>
      <c r="L20" s="37">
        <v>0.30499999999999999</v>
      </c>
      <c r="M20" s="37">
        <v>0.32</v>
      </c>
      <c r="O20" s="9" t="s">
        <v>3</v>
      </c>
      <c r="P20" s="10">
        <v>0.311</v>
      </c>
      <c r="Q20" s="10">
        <v>0.28100000000000003</v>
      </c>
      <c r="R20" s="10">
        <v>0.29099999999999998</v>
      </c>
      <c r="S20" s="33">
        <v>0.29899999999999999</v>
      </c>
      <c r="T20" s="33">
        <v>0.28000000000000003</v>
      </c>
      <c r="U20" s="33">
        <v>0.27900000000000003</v>
      </c>
      <c r="V20" s="7">
        <v>4.7E-2</v>
      </c>
      <c r="W20" s="7">
        <v>0.04</v>
      </c>
      <c r="X20" s="7">
        <v>4.1000000000000002E-2</v>
      </c>
      <c r="Y20" s="12">
        <v>4.4999999999999998E-2</v>
      </c>
      <c r="Z20" s="12">
        <v>0.28799999999999998</v>
      </c>
      <c r="AA20" s="12">
        <v>0.28199999999999997</v>
      </c>
    </row>
    <row r="21" spans="1:27" x14ac:dyDescent="0.25">
      <c r="A21" s="9" t="s">
        <v>4</v>
      </c>
      <c r="B21" s="35">
        <v>0.36499999999999999</v>
      </c>
      <c r="C21" s="35">
        <v>0.33</v>
      </c>
      <c r="D21" s="35">
        <v>0.32300000000000001</v>
      </c>
      <c r="E21" s="36">
        <v>0.32</v>
      </c>
      <c r="F21" s="36">
        <v>0.28999999999999998</v>
      </c>
      <c r="G21" s="36">
        <v>0.32400000000000001</v>
      </c>
      <c r="H21" s="111">
        <v>0.29799999999999999</v>
      </c>
      <c r="I21" s="111">
        <v>0.30499999999999999</v>
      </c>
      <c r="J21" s="111">
        <v>0.33700000000000002</v>
      </c>
      <c r="K21" s="38">
        <v>4.1000000000000002E-2</v>
      </c>
      <c r="L21" s="37">
        <v>0.22</v>
      </c>
      <c r="M21" s="37">
        <v>0.21099999999999999</v>
      </c>
      <c r="O21" s="9" t="s">
        <v>4</v>
      </c>
      <c r="P21" s="10">
        <v>0.35399999999999998</v>
      </c>
      <c r="Q21" s="10">
        <v>0.30499999999999999</v>
      </c>
      <c r="R21" s="10">
        <v>0.27100000000000002</v>
      </c>
      <c r="S21" s="33">
        <v>0.191</v>
      </c>
      <c r="T21" s="33">
        <v>0.17100000000000001</v>
      </c>
      <c r="U21" s="33">
        <v>0.16200000000000001</v>
      </c>
      <c r="V21" s="7">
        <v>0.04</v>
      </c>
      <c r="W21" s="7">
        <v>4.9000000000000002E-2</v>
      </c>
      <c r="X21" s="7">
        <v>0.04</v>
      </c>
      <c r="Y21" s="30">
        <v>4.1000000000000002E-2</v>
      </c>
      <c r="Z21" s="12">
        <v>0.20399999999999999</v>
      </c>
      <c r="AA21" s="12">
        <v>0.20100000000000001</v>
      </c>
    </row>
    <row r="22" spans="1:27" x14ac:dyDescent="0.25">
      <c r="A22" s="9" t="s">
        <v>5</v>
      </c>
      <c r="B22" s="35">
        <v>0.32500000000000001</v>
      </c>
      <c r="C22" s="35">
        <v>0.27100000000000002</v>
      </c>
      <c r="D22" s="35">
        <v>0.27500000000000002</v>
      </c>
      <c r="E22" s="36">
        <v>0.45200000000000001</v>
      </c>
      <c r="F22" s="36">
        <v>0.27600000000000002</v>
      </c>
      <c r="G22" s="36">
        <v>0.27700000000000002</v>
      </c>
      <c r="H22" s="35">
        <v>0.307</v>
      </c>
      <c r="I22" s="35">
        <v>0.32800000000000001</v>
      </c>
      <c r="J22" s="35">
        <v>0.38</v>
      </c>
      <c r="K22" s="38">
        <v>3.9E-2</v>
      </c>
      <c r="L22" s="37">
        <v>0.14000000000000001</v>
      </c>
      <c r="M22" s="37">
        <v>0.14299999999999999</v>
      </c>
      <c r="O22" s="9" t="s">
        <v>5</v>
      </c>
      <c r="P22" s="10">
        <v>0.34200000000000003</v>
      </c>
      <c r="Q22" s="10">
        <v>0.26700000000000002</v>
      </c>
      <c r="R22" s="10">
        <v>0.314</v>
      </c>
      <c r="S22" s="33">
        <v>0.26200000000000001</v>
      </c>
      <c r="T22" s="33">
        <v>0.22</v>
      </c>
      <c r="U22" s="33">
        <v>0.19700000000000001</v>
      </c>
      <c r="V22" s="7">
        <v>4.1000000000000002E-2</v>
      </c>
      <c r="W22" s="7">
        <v>4.1000000000000002E-2</v>
      </c>
      <c r="X22" s="7">
        <v>4.1000000000000002E-2</v>
      </c>
      <c r="Y22" s="30">
        <v>0.04</v>
      </c>
      <c r="Z22" s="12">
        <v>0.13900000000000001</v>
      </c>
      <c r="AA22" s="12">
        <v>0.15</v>
      </c>
    </row>
    <row r="23" spans="1:27" x14ac:dyDescent="0.25">
      <c r="A23" s="9" t="s">
        <v>6</v>
      </c>
      <c r="B23" s="35">
        <v>0.38400000000000001</v>
      </c>
      <c r="C23" s="35">
        <v>0.317</v>
      </c>
      <c r="D23" s="35">
        <v>0.32700000000000001</v>
      </c>
      <c r="E23" s="36">
        <v>0.28799999999999998</v>
      </c>
      <c r="F23" s="36">
        <v>0.28999999999999998</v>
      </c>
      <c r="G23" s="36">
        <v>0.26200000000000001</v>
      </c>
      <c r="H23" s="35">
        <v>0.39900000000000002</v>
      </c>
      <c r="I23" s="35">
        <v>0.36899999999999999</v>
      </c>
      <c r="J23" s="35">
        <v>0.34799999999999998</v>
      </c>
      <c r="K23" s="34">
        <v>0.04</v>
      </c>
      <c r="L23" s="37">
        <v>9.7000000000000003E-2</v>
      </c>
      <c r="M23" s="37">
        <v>8.6999999999999994E-2</v>
      </c>
      <c r="O23" s="9" t="s">
        <v>6</v>
      </c>
      <c r="P23" s="10">
        <v>0.34899999999999998</v>
      </c>
      <c r="Q23" s="10">
        <v>0.32300000000000001</v>
      </c>
      <c r="R23" s="10">
        <v>0.32</v>
      </c>
      <c r="S23" s="33">
        <v>0.189</v>
      </c>
      <c r="T23" s="33">
        <v>0.19</v>
      </c>
      <c r="U23" s="33">
        <v>0.19500000000000001</v>
      </c>
      <c r="V23" s="7">
        <v>4.1000000000000002E-2</v>
      </c>
      <c r="W23" s="7">
        <v>0.04</v>
      </c>
      <c r="X23" s="7">
        <v>4.1000000000000002E-2</v>
      </c>
      <c r="Y23" s="31">
        <v>4.1000000000000002E-2</v>
      </c>
      <c r="Z23" s="12">
        <v>9.5000000000000001E-2</v>
      </c>
      <c r="AA23" s="12">
        <v>8.8999999999999996E-2</v>
      </c>
    </row>
    <row r="24" spans="1:27" x14ac:dyDescent="0.25">
      <c r="A24" s="9" t="s">
        <v>7</v>
      </c>
      <c r="B24" s="35">
        <v>0.32900000000000001</v>
      </c>
      <c r="C24" s="35">
        <v>0.32500000000000001</v>
      </c>
      <c r="D24" s="35">
        <v>0.32200000000000001</v>
      </c>
      <c r="E24" s="36">
        <v>0.38400000000000001</v>
      </c>
      <c r="F24" s="36">
        <v>0.4</v>
      </c>
      <c r="G24" s="36">
        <v>0.34</v>
      </c>
      <c r="H24" s="35">
        <v>0.39300000000000002</v>
      </c>
      <c r="I24" s="35">
        <v>0.33500000000000002</v>
      </c>
      <c r="J24" s="35">
        <v>0.32700000000000001</v>
      </c>
      <c r="K24" s="34">
        <v>4.1000000000000002E-2</v>
      </c>
      <c r="L24" s="37">
        <v>6.7000000000000004E-2</v>
      </c>
      <c r="M24" s="37">
        <v>6.6000000000000003E-2</v>
      </c>
      <c r="O24" s="9" t="s">
        <v>7</v>
      </c>
      <c r="P24" s="10">
        <v>0.375</v>
      </c>
      <c r="Q24" s="10">
        <v>0.35299999999999998</v>
      </c>
      <c r="R24" s="10">
        <v>0.33500000000000002</v>
      </c>
      <c r="S24" s="33">
        <v>0.39600000000000002</v>
      </c>
      <c r="T24" s="33">
        <v>0.373</v>
      </c>
      <c r="U24" s="33">
        <v>0.38700000000000001</v>
      </c>
      <c r="V24" s="7">
        <v>0.04</v>
      </c>
      <c r="W24" s="7">
        <v>4.1000000000000002E-2</v>
      </c>
      <c r="X24" s="7">
        <v>4.1000000000000002E-2</v>
      </c>
      <c r="Y24" s="31">
        <v>4.1000000000000002E-2</v>
      </c>
      <c r="Z24" s="12">
        <v>6.5000000000000002E-2</v>
      </c>
      <c r="AA24" s="12">
        <v>6.4000000000000001E-2</v>
      </c>
    </row>
    <row r="25" spans="1:27" x14ac:dyDescent="0.25">
      <c r="A25" s="13"/>
      <c r="B25" s="4"/>
      <c r="C25" s="5"/>
      <c r="D25" s="5"/>
      <c r="E25" s="14"/>
      <c r="F25" s="14"/>
      <c r="G25" s="14"/>
      <c r="H25" s="14"/>
      <c r="I25" s="14"/>
      <c r="J25" s="14"/>
      <c r="K25" s="14"/>
      <c r="L25" s="14"/>
      <c r="M25" s="14"/>
      <c r="O25" s="13"/>
      <c r="P25" s="4"/>
      <c r="Q25" s="5"/>
      <c r="R25" s="5"/>
      <c r="S25" s="14"/>
      <c r="T25" s="14"/>
      <c r="U25" s="14"/>
      <c r="V25" s="14"/>
      <c r="W25" s="14"/>
      <c r="X25" s="14"/>
      <c r="Y25" s="14"/>
      <c r="Z25" s="14"/>
      <c r="AA25" s="14"/>
    </row>
    <row r="26" spans="1:27" x14ac:dyDescent="0.25">
      <c r="A26" s="21" t="s">
        <v>9</v>
      </c>
      <c r="B26" s="6"/>
      <c r="C26" s="6"/>
      <c r="D26" s="6"/>
      <c r="E26" s="7"/>
      <c r="F26" s="7"/>
      <c r="G26" s="7"/>
      <c r="H26" s="7"/>
      <c r="I26" s="7"/>
      <c r="J26" s="7"/>
      <c r="K26" s="7"/>
      <c r="L26" s="7"/>
      <c r="M26" s="7"/>
      <c r="O26" s="21" t="s">
        <v>9</v>
      </c>
      <c r="P26" s="6"/>
      <c r="Q26" s="6"/>
      <c r="R26" s="6"/>
      <c r="S26" s="7"/>
      <c r="T26" s="7"/>
      <c r="U26" s="7"/>
      <c r="V26" s="7"/>
      <c r="W26" s="7"/>
      <c r="X26" s="7"/>
      <c r="Y26" s="7"/>
      <c r="Z26" s="7"/>
      <c r="AA26" s="7"/>
    </row>
    <row r="27" spans="1:27" x14ac:dyDescent="0.25">
      <c r="A27" s="9"/>
      <c r="B27" s="10">
        <v>1</v>
      </c>
      <c r="C27" s="10">
        <v>2</v>
      </c>
      <c r="D27" s="10">
        <v>3</v>
      </c>
      <c r="E27" s="11">
        <v>4</v>
      </c>
      <c r="F27" s="11">
        <v>5</v>
      </c>
      <c r="G27" s="11">
        <v>6</v>
      </c>
      <c r="H27" s="10">
        <v>7</v>
      </c>
      <c r="I27" s="10">
        <v>8</v>
      </c>
      <c r="J27" s="10">
        <v>9</v>
      </c>
      <c r="K27" s="12">
        <v>10</v>
      </c>
      <c r="L27" s="12">
        <v>11</v>
      </c>
      <c r="M27" s="12">
        <v>12</v>
      </c>
      <c r="O27" s="9"/>
      <c r="P27" s="10">
        <v>1</v>
      </c>
      <c r="Q27" s="10">
        <v>2</v>
      </c>
      <c r="R27" s="10">
        <v>3</v>
      </c>
      <c r="S27" s="11">
        <v>4</v>
      </c>
      <c r="T27" s="11">
        <v>5</v>
      </c>
      <c r="U27" s="11">
        <v>6</v>
      </c>
      <c r="V27" s="10">
        <v>7</v>
      </c>
      <c r="W27" s="10">
        <v>8</v>
      </c>
      <c r="X27" s="10">
        <v>9</v>
      </c>
      <c r="Y27" s="12">
        <v>10</v>
      </c>
      <c r="Z27" s="12">
        <v>11</v>
      </c>
      <c r="AA27" s="12">
        <v>12</v>
      </c>
    </row>
    <row r="28" spans="1:27" x14ac:dyDescent="0.25">
      <c r="A28" s="9" t="s">
        <v>0</v>
      </c>
      <c r="B28" s="35">
        <v>0.06</v>
      </c>
      <c r="C28" s="35">
        <v>4.3999999999999997E-2</v>
      </c>
      <c r="D28" s="35">
        <v>4.5999999999999999E-2</v>
      </c>
      <c r="E28" s="36">
        <v>4.9000000000000002E-2</v>
      </c>
      <c r="F28" s="36">
        <v>4.3999999999999997E-2</v>
      </c>
      <c r="G28" s="36">
        <v>4.2000000000000003E-2</v>
      </c>
      <c r="H28" s="35">
        <v>5.5E-2</v>
      </c>
      <c r="I28" s="35">
        <v>0.05</v>
      </c>
      <c r="J28" s="35">
        <v>4.7E-2</v>
      </c>
      <c r="K28" s="37">
        <v>3.7999999999999999E-2</v>
      </c>
      <c r="L28" s="37">
        <v>6.4000000000000001E-2</v>
      </c>
      <c r="M28" s="37">
        <v>4.9000000000000002E-2</v>
      </c>
      <c r="O28" s="9" t="s">
        <v>0</v>
      </c>
      <c r="P28" s="68">
        <v>4.8000000000000001E-2</v>
      </c>
      <c r="Q28" s="68">
        <v>4.1000000000000002E-2</v>
      </c>
      <c r="R28" s="68">
        <v>0.04</v>
      </c>
      <c r="S28" s="72">
        <v>3.9E-2</v>
      </c>
      <c r="T28" s="72">
        <v>3.9E-2</v>
      </c>
      <c r="U28" s="72">
        <v>3.6999999999999998E-2</v>
      </c>
      <c r="V28" s="68">
        <v>3.5999999999999997E-2</v>
      </c>
      <c r="W28" s="68">
        <v>3.6999999999999998E-2</v>
      </c>
      <c r="X28" s="68">
        <v>3.6999999999999998E-2</v>
      </c>
      <c r="Y28" s="69">
        <v>3.7999999999999999E-2</v>
      </c>
      <c r="Z28" s="69">
        <v>0.04</v>
      </c>
      <c r="AA28" s="69">
        <v>3.9E-2</v>
      </c>
    </row>
    <row r="29" spans="1:27" x14ac:dyDescent="0.25">
      <c r="A29" s="9" t="s">
        <v>1</v>
      </c>
      <c r="B29" s="35">
        <v>5.1999999999999998E-2</v>
      </c>
      <c r="C29" s="35">
        <v>5.8000000000000003E-2</v>
      </c>
      <c r="D29" s="35">
        <v>6.0999999999999999E-2</v>
      </c>
      <c r="E29" s="36">
        <v>0.06</v>
      </c>
      <c r="F29" s="36">
        <v>4.9000000000000002E-2</v>
      </c>
      <c r="G29" s="36">
        <v>6.4000000000000001E-2</v>
      </c>
      <c r="H29" s="61">
        <v>3.6999999999999998E-2</v>
      </c>
      <c r="I29" s="61">
        <v>3.6999999999999998E-2</v>
      </c>
      <c r="J29" s="61">
        <v>3.6999999999999998E-2</v>
      </c>
      <c r="K29" s="37">
        <v>3.6999999999999998E-2</v>
      </c>
      <c r="L29" s="37">
        <v>7.0999999999999994E-2</v>
      </c>
      <c r="M29" s="37">
        <v>0.04</v>
      </c>
      <c r="O29" s="9" t="s">
        <v>1</v>
      </c>
      <c r="P29" s="68">
        <v>3.7999999999999999E-2</v>
      </c>
      <c r="Q29" s="68">
        <v>3.7999999999999999E-2</v>
      </c>
      <c r="R29" s="68">
        <v>4.1000000000000002E-2</v>
      </c>
      <c r="S29" s="72">
        <v>0.04</v>
      </c>
      <c r="T29" s="72">
        <v>3.7999999999999999E-2</v>
      </c>
      <c r="U29" s="72">
        <v>3.9E-2</v>
      </c>
      <c r="V29" s="68">
        <v>3.6999999999999998E-2</v>
      </c>
      <c r="W29" s="68">
        <v>3.5999999999999997E-2</v>
      </c>
      <c r="X29" s="68">
        <v>3.6999999999999998E-2</v>
      </c>
      <c r="Y29" s="69">
        <v>3.6999999999999998E-2</v>
      </c>
      <c r="Z29" s="69">
        <v>3.6999999999999998E-2</v>
      </c>
      <c r="AA29" s="69">
        <v>3.7999999999999999E-2</v>
      </c>
    </row>
    <row r="30" spans="1:27" x14ac:dyDescent="0.25">
      <c r="A30" s="9" t="s">
        <v>2</v>
      </c>
      <c r="B30" s="35">
        <v>4.1000000000000002E-2</v>
      </c>
      <c r="C30" s="35">
        <v>6.2E-2</v>
      </c>
      <c r="D30" s="35">
        <v>5.5E-2</v>
      </c>
      <c r="E30" s="91">
        <v>5.0999999999999997E-2</v>
      </c>
      <c r="F30" s="91">
        <v>5.0999999999999997E-2</v>
      </c>
      <c r="G30" s="91">
        <v>5.2999999999999999E-2</v>
      </c>
      <c r="H30" s="35">
        <v>5.0999999999999997E-2</v>
      </c>
      <c r="I30" s="35">
        <v>5.8000000000000003E-2</v>
      </c>
      <c r="J30" s="35">
        <v>5.8999999999999997E-2</v>
      </c>
      <c r="K30" s="37">
        <v>3.6999999999999998E-2</v>
      </c>
      <c r="L30" s="37">
        <v>6.0999999999999999E-2</v>
      </c>
      <c r="M30" s="37">
        <v>5.2999999999999999E-2</v>
      </c>
      <c r="O30" s="9" t="s">
        <v>2</v>
      </c>
      <c r="P30" s="68">
        <v>3.7999999999999999E-2</v>
      </c>
      <c r="Q30" s="68">
        <v>3.9E-2</v>
      </c>
      <c r="R30" s="68">
        <v>3.9E-2</v>
      </c>
      <c r="S30" s="72">
        <v>4.1000000000000002E-2</v>
      </c>
      <c r="T30" s="72">
        <v>3.9E-2</v>
      </c>
      <c r="U30" s="72">
        <v>3.7999999999999999E-2</v>
      </c>
      <c r="V30" s="73">
        <v>3.5999999999999997E-2</v>
      </c>
      <c r="W30" s="73">
        <v>0.04</v>
      </c>
      <c r="X30" s="73">
        <v>3.5999999999999997E-2</v>
      </c>
      <c r="Y30" s="69">
        <v>3.6999999999999998E-2</v>
      </c>
      <c r="Z30" s="69">
        <v>3.9E-2</v>
      </c>
      <c r="AA30" s="69">
        <v>3.7999999999999999E-2</v>
      </c>
    </row>
    <row r="31" spans="1:27" x14ac:dyDescent="0.25">
      <c r="A31" s="9" t="s">
        <v>3</v>
      </c>
      <c r="B31" s="35">
        <v>4.8000000000000001E-2</v>
      </c>
      <c r="C31" s="35">
        <v>5.5E-2</v>
      </c>
      <c r="D31" s="35">
        <v>5.2999999999999999E-2</v>
      </c>
      <c r="E31" s="58">
        <v>3.5999999999999997E-2</v>
      </c>
      <c r="F31" s="58">
        <v>3.6999999999999998E-2</v>
      </c>
      <c r="G31" s="58">
        <v>3.5999999999999997E-2</v>
      </c>
      <c r="H31" s="35">
        <v>5.7000000000000002E-2</v>
      </c>
      <c r="I31" s="35">
        <v>5.0999999999999997E-2</v>
      </c>
      <c r="J31" s="35">
        <v>5.0999999999999997E-2</v>
      </c>
      <c r="K31" s="37">
        <v>3.7999999999999999E-2</v>
      </c>
      <c r="L31" s="37">
        <v>0.05</v>
      </c>
      <c r="M31" s="37">
        <v>5.0999999999999997E-2</v>
      </c>
      <c r="O31" s="9" t="s">
        <v>3</v>
      </c>
      <c r="P31" s="68">
        <v>0.04</v>
      </c>
      <c r="Q31" s="68">
        <v>3.6999999999999998E-2</v>
      </c>
      <c r="R31" s="68">
        <v>4.4999999999999998E-2</v>
      </c>
      <c r="S31" s="72">
        <v>3.6999999999999998E-2</v>
      </c>
      <c r="T31" s="72">
        <v>3.9E-2</v>
      </c>
      <c r="U31" s="72">
        <v>3.7999999999999999E-2</v>
      </c>
      <c r="V31" s="73">
        <v>4.2000000000000003E-2</v>
      </c>
      <c r="W31" s="73">
        <v>3.5999999999999997E-2</v>
      </c>
      <c r="X31" s="73">
        <v>3.6999999999999998E-2</v>
      </c>
      <c r="Y31" s="69">
        <v>3.5999999999999997E-2</v>
      </c>
      <c r="Z31" s="69">
        <v>3.9E-2</v>
      </c>
      <c r="AA31" s="69">
        <v>3.7999999999999999E-2</v>
      </c>
    </row>
    <row r="32" spans="1:27" x14ac:dyDescent="0.25">
      <c r="A32" s="9" t="s">
        <v>4</v>
      </c>
      <c r="B32" s="35">
        <v>0.06</v>
      </c>
      <c r="C32" s="35">
        <v>4.9000000000000002E-2</v>
      </c>
      <c r="D32" s="35">
        <v>0.05</v>
      </c>
      <c r="E32" s="36">
        <v>4.7E-2</v>
      </c>
      <c r="F32" s="36">
        <v>5.0999999999999997E-2</v>
      </c>
      <c r="G32" s="36">
        <v>4.3999999999999997E-2</v>
      </c>
      <c r="H32" s="111">
        <v>5.1999999999999998E-2</v>
      </c>
      <c r="I32" s="111">
        <v>0.05</v>
      </c>
      <c r="J32" s="111">
        <v>4.2999999999999997E-2</v>
      </c>
      <c r="K32" s="38">
        <v>3.6999999999999998E-2</v>
      </c>
      <c r="L32" s="37">
        <v>4.8000000000000001E-2</v>
      </c>
      <c r="M32" s="37">
        <v>4.7E-2</v>
      </c>
      <c r="O32" s="9" t="s">
        <v>4</v>
      </c>
      <c r="P32" s="68">
        <v>4.1000000000000002E-2</v>
      </c>
      <c r="Q32" s="68">
        <v>3.7999999999999999E-2</v>
      </c>
      <c r="R32" s="68">
        <v>3.7999999999999999E-2</v>
      </c>
      <c r="S32" s="72">
        <v>5.2999999999999999E-2</v>
      </c>
      <c r="T32" s="72">
        <v>3.6999999999999998E-2</v>
      </c>
      <c r="U32" s="72">
        <v>3.7999999999999999E-2</v>
      </c>
      <c r="V32" s="73">
        <v>3.5999999999999997E-2</v>
      </c>
      <c r="W32" s="73">
        <v>4.2000000000000003E-2</v>
      </c>
      <c r="X32" s="73">
        <v>3.5999999999999997E-2</v>
      </c>
      <c r="Y32" s="70">
        <v>3.5999999999999997E-2</v>
      </c>
      <c r="Z32" s="69">
        <v>3.9E-2</v>
      </c>
      <c r="AA32" s="69">
        <v>3.9E-2</v>
      </c>
    </row>
    <row r="33" spans="1:27" x14ac:dyDescent="0.25">
      <c r="A33" s="9" t="s">
        <v>5</v>
      </c>
      <c r="B33" s="35">
        <v>5.6000000000000001E-2</v>
      </c>
      <c r="C33" s="35">
        <v>5.0999999999999997E-2</v>
      </c>
      <c r="D33" s="35">
        <v>4.2000000000000003E-2</v>
      </c>
      <c r="E33" s="36">
        <v>4.1000000000000002E-2</v>
      </c>
      <c r="F33" s="36">
        <v>4.5999999999999999E-2</v>
      </c>
      <c r="G33" s="36">
        <v>4.3999999999999997E-2</v>
      </c>
      <c r="H33" s="35">
        <v>5.2999999999999999E-2</v>
      </c>
      <c r="I33" s="35">
        <v>5.1999999999999998E-2</v>
      </c>
      <c r="J33" s="35">
        <v>4.3999999999999997E-2</v>
      </c>
      <c r="K33" s="38">
        <v>3.5999999999999997E-2</v>
      </c>
      <c r="L33" s="37">
        <v>4.7E-2</v>
      </c>
      <c r="M33" s="37">
        <v>4.3999999999999997E-2</v>
      </c>
      <c r="O33" s="9" t="s">
        <v>5</v>
      </c>
      <c r="P33" s="68">
        <v>3.9E-2</v>
      </c>
      <c r="Q33" s="68">
        <v>3.6999999999999998E-2</v>
      </c>
      <c r="R33" s="68">
        <v>3.7999999999999999E-2</v>
      </c>
      <c r="S33" s="72">
        <v>3.7999999999999999E-2</v>
      </c>
      <c r="T33" s="72">
        <v>3.9E-2</v>
      </c>
      <c r="U33" s="72">
        <v>3.7999999999999999E-2</v>
      </c>
      <c r="V33" s="73">
        <v>3.6999999999999998E-2</v>
      </c>
      <c r="W33" s="73">
        <v>3.5999999999999997E-2</v>
      </c>
      <c r="X33" s="73">
        <v>3.5999999999999997E-2</v>
      </c>
      <c r="Y33" s="70">
        <v>3.5999999999999997E-2</v>
      </c>
      <c r="Z33" s="69">
        <v>3.7999999999999999E-2</v>
      </c>
      <c r="AA33" s="69">
        <v>4.9000000000000002E-2</v>
      </c>
    </row>
    <row r="34" spans="1:27" x14ac:dyDescent="0.25">
      <c r="A34" s="9" t="s">
        <v>6</v>
      </c>
      <c r="B34" s="35">
        <v>4.4999999999999998E-2</v>
      </c>
      <c r="C34" s="35">
        <v>5.5E-2</v>
      </c>
      <c r="D34" s="35">
        <v>5.5E-2</v>
      </c>
      <c r="E34" s="36">
        <v>5.5E-2</v>
      </c>
      <c r="F34" s="36">
        <v>4.9000000000000002E-2</v>
      </c>
      <c r="G34" s="36">
        <v>5.7000000000000002E-2</v>
      </c>
      <c r="H34" s="35">
        <v>4.7E-2</v>
      </c>
      <c r="I34" s="35">
        <v>5.7000000000000002E-2</v>
      </c>
      <c r="J34" s="35">
        <v>6.0999999999999999E-2</v>
      </c>
      <c r="K34" s="34">
        <v>3.5999999999999997E-2</v>
      </c>
      <c r="L34" s="37">
        <v>4.2000000000000003E-2</v>
      </c>
      <c r="M34" s="37">
        <v>4.1000000000000002E-2</v>
      </c>
      <c r="O34" s="9" t="s">
        <v>6</v>
      </c>
      <c r="P34" s="68">
        <v>3.7999999999999999E-2</v>
      </c>
      <c r="Q34" s="68">
        <v>0.04</v>
      </c>
      <c r="R34" s="68">
        <v>3.9E-2</v>
      </c>
      <c r="S34" s="72">
        <v>3.6999999999999998E-2</v>
      </c>
      <c r="T34" s="72">
        <v>0.04</v>
      </c>
      <c r="U34" s="72">
        <v>0.04</v>
      </c>
      <c r="V34" s="73">
        <v>3.6999999999999998E-2</v>
      </c>
      <c r="W34" s="73">
        <v>3.6999999999999998E-2</v>
      </c>
      <c r="X34" s="73">
        <v>3.6999999999999998E-2</v>
      </c>
      <c r="Y34" s="71">
        <v>3.5999999999999997E-2</v>
      </c>
      <c r="Z34" s="69">
        <v>0.04</v>
      </c>
      <c r="AA34" s="69">
        <v>3.5999999999999997E-2</v>
      </c>
    </row>
    <row r="35" spans="1:27" x14ac:dyDescent="0.25">
      <c r="A35" s="9" t="s">
        <v>7</v>
      </c>
      <c r="B35" s="35">
        <v>4.7E-2</v>
      </c>
      <c r="C35" s="35">
        <v>5.0999999999999997E-2</v>
      </c>
      <c r="D35" s="35">
        <v>4.7E-2</v>
      </c>
      <c r="E35" s="36">
        <v>0.05</v>
      </c>
      <c r="F35" s="36">
        <v>3.7999999999999999E-2</v>
      </c>
      <c r="G35" s="36">
        <v>5.5E-2</v>
      </c>
      <c r="H35" s="35">
        <v>5.2999999999999999E-2</v>
      </c>
      <c r="I35" s="35">
        <v>7.0000000000000007E-2</v>
      </c>
      <c r="J35" s="35">
        <v>6.9000000000000006E-2</v>
      </c>
      <c r="K35" s="34">
        <v>3.6999999999999998E-2</v>
      </c>
      <c r="L35" s="37">
        <v>0.04</v>
      </c>
      <c r="M35" s="37">
        <v>3.9E-2</v>
      </c>
      <c r="O35" s="9" t="s">
        <v>7</v>
      </c>
      <c r="P35" s="68">
        <v>3.9E-2</v>
      </c>
      <c r="Q35" s="68">
        <v>3.7999999999999999E-2</v>
      </c>
      <c r="R35" s="68">
        <v>0.04</v>
      </c>
      <c r="S35" s="72">
        <v>3.6999999999999998E-2</v>
      </c>
      <c r="T35" s="72">
        <v>4.1000000000000002E-2</v>
      </c>
      <c r="U35" s="72">
        <v>4.1000000000000002E-2</v>
      </c>
      <c r="V35" s="73">
        <v>3.5999999999999997E-2</v>
      </c>
      <c r="W35" s="73">
        <v>3.6999999999999998E-2</v>
      </c>
      <c r="X35" s="73">
        <v>3.6999999999999998E-2</v>
      </c>
      <c r="Y35" s="71">
        <v>3.6999999999999998E-2</v>
      </c>
      <c r="Z35" s="69">
        <v>3.6999999999999998E-2</v>
      </c>
      <c r="AA35" s="69">
        <v>3.6999999999999998E-2</v>
      </c>
    </row>
    <row r="36" spans="1:27" x14ac:dyDescent="0.25">
      <c r="A36" s="15"/>
      <c r="B36" s="4"/>
      <c r="C36" s="5"/>
      <c r="D36" s="5"/>
      <c r="E36" s="14"/>
      <c r="F36" s="14"/>
      <c r="G36" s="14"/>
      <c r="H36" s="14"/>
      <c r="I36" s="14"/>
      <c r="J36" s="14"/>
      <c r="K36" s="14"/>
      <c r="L36" s="14"/>
      <c r="M36" s="14"/>
      <c r="O36" s="15"/>
      <c r="P36" s="4"/>
      <c r="Q36" s="5"/>
      <c r="R36" s="5"/>
      <c r="S36" s="14"/>
      <c r="T36" s="14"/>
      <c r="U36" s="14"/>
      <c r="V36" s="14"/>
      <c r="W36" s="14"/>
      <c r="X36" s="14"/>
      <c r="Y36" s="14"/>
      <c r="Z36" s="14"/>
      <c r="AA36" s="14"/>
    </row>
    <row r="37" spans="1:27" x14ac:dyDescent="0.25">
      <c r="A37" s="20" t="s">
        <v>10</v>
      </c>
      <c r="B37" s="7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O37" s="20" t="s">
        <v>10</v>
      </c>
      <c r="P37" s="7"/>
      <c r="Q37" s="6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x14ac:dyDescent="0.25">
      <c r="A38" s="8"/>
      <c r="B38" s="10">
        <v>1</v>
      </c>
      <c r="C38" s="10">
        <v>2</v>
      </c>
      <c r="D38" s="10">
        <v>3</v>
      </c>
      <c r="E38" s="11">
        <v>4</v>
      </c>
      <c r="F38" s="11">
        <v>5</v>
      </c>
      <c r="G38" s="11">
        <v>6</v>
      </c>
      <c r="H38" s="10">
        <v>7</v>
      </c>
      <c r="I38" s="10">
        <v>8</v>
      </c>
      <c r="J38" s="10">
        <v>9</v>
      </c>
      <c r="K38" s="12">
        <v>10</v>
      </c>
      <c r="L38" s="12">
        <v>11</v>
      </c>
      <c r="M38" s="12">
        <v>12</v>
      </c>
      <c r="O38" s="8"/>
      <c r="P38" s="10">
        <v>1</v>
      </c>
      <c r="Q38" s="10">
        <v>2</v>
      </c>
      <c r="R38" s="10">
        <v>3</v>
      </c>
      <c r="S38" s="33">
        <v>4</v>
      </c>
      <c r="T38" s="33">
        <v>5</v>
      </c>
      <c r="U38" s="33">
        <v>6</v>
      </c>
      <c r="V38" s="10">
        <v>7</v>
      </c>
      <c r="W38" s="10">
        <v>8</v>
      </c>
      <c r="X38" s="10">
        <v>9</v>
      </c>
      <c r="Y38" s="12">
        <v>10</v>
      </c>
      <c r="Z38" s="12">
        <v>11</v>
      </c>
      <c r="AA38" s="12">
        <v>12</v>
      </c>
    </row>
    <row r="39" spans="1:27" x14ac:dyDescent="0.25">
      <c r="A39" s="9" t="s">
        <v>0</v>
      </c>
      <c r="B39" s="41">
        <f>B17-B28</f>
        <v>0.318</v>
      </c>
      <c r="C39" s="41">
        <f>C17-C28</f>
        <v>0.36899999999999999</v>
      </c>
      <c r="D39" s="41">
        <f t="shared" ref="D39:M39" si="0">D17-D28</f>
        <v>0.28500000000000003</v>
      </c>
      <c r="E39" s="42">
        <f t="shared" si="0"/>
        <v>0.21800000000000003</v>
      </c>
      <c r="F39" s="42">
        <f t="shared" si="0"/>
        <v>0.28300000000000003</v>
      </c>
      <c r="G39" s="42">
        <f t="shared" si="0"/>
        <v>0.27800000000000002</v>
      </c>
      <c r="H39" s="41">
        <f t="shared" si="0"/>
        <v>0.24299999999999999</v>
      </c>
      <c r="I39" s="41">
        <f t="shared" si="0"/>
        <v>0.32400000000000001</v>
      </c>
      <c r="J39" s="41">
        <f t="shared" si="0"/>
        <v>0.29200000000000004</v>
      </c>
      <c r="K39" s="43">
        <f>K17-K28</f>
        <v>1.3999999999999999E-2</v>
      </c>
      <c r="L39" s="43">
        <f t="shared" si="0"/>
        <v>0.43099999999999999</v>
      </c>
      <c r="M39" s="43">
        <f t="shared" si="0"/>
        <v>0.48500000000000004</v>
      </c>
      <c r="O39" s="9" t="s">
        <v>0</v>
      </c>
      <c r="P39" s="41">
        <f>P17-P28</f>
        <v>0.32400000000000001</v>
      </c>
      <c r="Q39" s="41">
        <f>Q17-Q28</f>
        <v>0.29300000000000004</v>
      </c>
      <c r="R39" s="41">
        <f t="shared" ref="R39:X39" si="1">R17-R28</f>
        <v>0.27700000000000002</v>
      </c>
      <c r="S39" s="66">
        <f t="shared" si="1"/>
        <v>0.28100000000000003</v>
      </c>
      <c r="T39" s="66">
        <f t="shared" si="1"/>
        <v>0.29300000000000004</v>
      </c>
      <c r="U39" s="66">
        <f>U17-U28</f>
        <v>0.31</v>
      </c>
      <c r="V39" s="41">
        <f t="shared" si="1"/>
        <v>0.24300000000000002</v>
      </c>
      <c r="W39" s="41">
        <f t="shared" si="1"/>
        <v>0.25800000000000001</v>
      </c>
      <c r="X39" s="41">
        <f t="shared" si="1"/>
        <v>0.27300000000000002</v>
      </c>
      <c r="Y39" s="43">
        <f>Y17-Y28</f>
        <v>1.6E-2</v>
      </c>
      <c r="Z39" s="43">
        <f t="shared" ref="Z39:AA39" si="2">Z17-Z28</f>
        <v>0.504</v>
      </c>
      <c r="AA39" s="43">
        <f t="shared" si="2"/>
        <v>0.49300000000000005</v>
      </c>
    </row>
    <row r="40" spans="1:27" x14ac:dyDescent="0.25">
      <c r="A40" s="9" t="s">
        <v>1</v>
      </c>
      <c r="B40" s="41">
        <f t="shared" ref="B40:M46" si="3">B18-B29</f>
        <v>0.32300000000000001</v>
      </c>
      <c r="C40" s="41">
        <f t="shared" si="3"/>
        <v>0.34600000000000003</v>
      </c>
      <c r="D40" s="41">
        <f t="shared" si="3"/>
        <v>0.29199999999999998</v>
      </c>
      <c r="E40" s="42">
        <f t="shared" si="3"/>
        <v>0.314</v>
      </c>
      <c r="F40" s="42">
        <f t="shared" si="3"/>
        <v>0.29499999999999998</v>
      </c>
      <c r="G40" s="42">
        <f t="shared" si="3"/>
        <v>0.23099999999999998</v>
      </c>
      <c r="H40" s="62">
        <f t="shared" si="3"/>
        <v>5.9999999999999984E-3</v>
      </c>
      <c r="I40" s="62">
        <f t="shared" si="3"/>
        <v>3.0000000000000027E-3</v>
      </c>
      <c r="J40" s="62">
        <f t="shared" si="3"/>
        <v>5.0000000000000044E-3</v>
      </c>
      <c r="K40" s="43">
        <f>K18-K29</f>
        <v>8.0000000000000002E-3</v>
      </c>
      <c r="L40" s="43">
        <f t="shared" si="3"/>
        <v>0.34199999999999997</v>
      </c>
      <c r="M40" s="43">
        <f t="shared" si="3"/>
        <v>0.49900000000000005</v>
      </c>
      <c r="O40" s="9" t="s">
        <v>1</v>
      </c>
      <c r="P40" s="41">
        <f t="shared" ref="P40:X40" si="4">P18-P29</f>
        <v>0.26500000000000001</v>
      </c>
      <c r="Q40" s="41">
        <f t="shared" si="4"/>
        <v>0.23100000000000001</v>
      </c>
      <c r="R40" s="41">
        <f t="shared" si="4"/>
        <v>0.22600000000000001</v>
      </c>
      <c r="S40" s="66">
        <f t="shared" si="4"/>
        <v>0.224</v>
      </c>
      <c r="T40" s="66">
        <f t="shared" si="4"/>
        <v>0.21099999999999999</v>
      </c>
      <c r="U40" s="66">
        <f t="shared" si="4"/>
        <v>0.22900000000000001</v>
      </c>
      <c r="V40" s="41">
        <f t="shared" si="4"/>
        <v>0.28800000000000003</v>
      </c>
      <c r="W40" s="41">
        <f t="shared" si="4"/>
        <v>0.28200000000000003</v>
      </c>
      <c r="X40" s="41">
        <f t="shared" si="4"/>
        <v>0.26700000000000002</v>
      </c>
      <c r="Y40" s="43">
        <f>Y18-Y29</f>
        <v>1.1000000000000003E-2</v>
      </c>
      <c r="Z40" s="43">
        <f t="shared" ref="Z40:AA40" si="5">Z18-Z29</f>
        <v>0.47200000000000003</v>
      </c>
      <c r="AA40" s="43">
        <f t="shared" si="5"/>
        <v>0.42600000000000005</v>
      </c>
    </row>
    <row r="41" spans="1:27" x14ac:dyDescent="0.25">
      <c r="A41" s="9" t="s">
        <v>2</v>
      </c>
      <c r="B41" s="41">
        <f t="shared" si="3"/>
        <v>0.379</v>
      </c>
      <c r="C41" s="41">
        <f t="shared" si="3"/>
        <v>0.245</v>
      </c>
      <c r="D41" s="41">
        <f t="shared" si="3"/>
        <v>0.22400000000000003</v>
      </c>
      <c r="E41" s="92">
        <f t="shared" si="3"/>
        <v>0.21100000000000002</v>
      </c>
      <c r="F41" s="92">
        <f t="shared" si="3"/>
        <v>0.22000000000000003</v>
      </c>
      <c r="G41" s="92">
        <f t="shared" si="3"/>
        <v>0.19900000000000001</v>
      </c>
      <c r="H41" s="41">
        <f t="shared" si="3"/>
        <v>0.247</v>
      </c>
      <c r="I41" s="41">
        <f t="shared" si="3"/>
        <v>0.23099999999999998</v>
      </c>
      <c r="J41" s="41">
        <f t="shared" si="3"/>
        <v>0.246</v>
      </c>
      <c r="K41" s="43">
        <f t="shared" si="3"/>
        <v>1.6E-2</v>
      </c>
      <c r="L41" s="43">
        <f t="shared" si="3"/>
        <v>0.28599999999999998</v>
      </c>
      <c r="M41" s="43">
        <f t="shared" si="3"/>
        <v>0.36499999999999999</v>
      </c>
      <c r="O41" s="9" t="s">
        <v>2</v>
      </c>
      <c r="P41" s="41">
        <f t="shared" ref="P41:AA41" si="6">P19-P30</f>
        <v>0.28700000000000003</v>
      </c>
      <c r="Q41" s="41">
        <f t="shared" si="6"/>
        <v>0.27900000000000003</v>
      </c>
      <c r="R41" s="41">
        <f t="shared" si="6"/>
        <v>0.24799999999999997</v>
      </c>
      <c r="S41" s="66">
        <f t="shared" si="6"/>
        <v>0.22900000000000001</v>
      </c>
      <c r="T41" s="66">
        <f t="shared" si="6"/>
        <v>0.216</v>
      </c>
      <c r="U41" s="66">
        <f t="shared" si="6"/>
        <v>0.24000000000000002</v>
      </c>
      <c r="V41" s="67">
        <f t="shared" si="6"/>
        <v>4.0000000000000036E-3</v>
      </c>
      <c r="W41" s="67">
        <f t="shared" si="6"/>
        <v>3.9999999999999966E-3</v>
      </c>
      <c r="X41" s="67">
        <f t="shared" si="6"/>
        <v>4.0000000000000036E-3</v>
      </c>
      <c r="Y41" s="43">
        <f t="shared" si="6"/>
        <v>1.3999999999999999E-2</v>
      </c>
      <c r="Z41" s="43">
        <f t="shared" si="6"/>
        <v>0.36500000000000005</v>
      </c>
      <c r="AA41" s="43">
        <f t="shared" si="6"/>
        <v>0.34700000000000003</v>
      </c>
    </row>
    <row r="42" spans="1:27" x14ac:dyDescent="0.25">
      <c r="A42" s="9" t="s">
        <v>3</v>
      </c>
      <c r="B42" s="41">
        <f t="shared" si="3"/>
        <v>0.34</v>
      </c>
      <c r="C42" s="41">
        <f t="shared" si="3"/>
        <v>0.27800000000000002</v>
      </c>
      <c r="D42" s="41">
        <f t="shared" si="3"/>
        <v>0.23299999999999998</v>
      </c>
      <c r="E42" s="59">
        <f t="shared" si="3"/>
        <v>4.0000000000000036E-3</v>
      </c>
      <c r="F42" s="59">
        <f t="shared" si="3"/>
        <v>3.0000000000000027E-3</v>
      </c>
      <c r="G42" s="59">
        <f t="shared" si="3"/>
        <v>4.0000000000000036E-3</v>
      </c>
      <c r="H42" s="41">
        <f t="shared" si="3"/>
        <v>0.27</v>
      </c>
      <c r="I42" s="41">
        <f t="shared" si="3"/>
        <v>0.2</v>
      </c>
      <c r="J42" s="41">
        <f t="shared" si="3"/>
        <v>0.19600000000000001</v>
      </c>
      <c r="K42" s="43">
        <f t="shared" si="3"/>
        <v>8.0000000000000002E-3</v>
      </c>
      <c r="L42" s="43">
        <f t="shared" si="3"/>
        <v>0.255</v>
      </c>
      <c r="M42" s="43">
        <f t="shared" si="3"/>
        <v>0.26900000000000002</v>
      </c>
      <c r="O42" s="9" t="s">
        <v>3</v>
      </c>
      <c r="P42" s="41">
        <f t="shared" ref="P42:AA42" si="7">P20-P31</f>
        <v>0.27100000000000002</v>
      </c>
      <c r="Q42" s="41">
        <f t="shared" si="7"/>
        <v>0.24400000000000002</v>
      </c>
      <c r="R42" s="41">
        <f t="shared" si="7"/>
        <v>0.246</v>
      </c>
      <c r="S42" s="66">
        <f t="shared" si="7"/>
        <v>0.26200000000000001</v>
      </c>
      <c r="T42" s="66">
        <f t="shared" si="7"/>
        <v>0.24100000000000002</v>
      </c>
      <c r="U42" s="66">
        <f t="shared" si="7"/>
        <v>0.24100000000000002</v>
      </c>
      <c r="V42" s="67">
        <f t="shared" si="7"/>
        <v>4.9999999999999975E-3</v>
      </c>
      <c r="W42" s="67">
        <f t="shared" si="7"/>
        <v>4.0000000000000036E-3</v>
      </c>
      <c r="X42" s="67">
        <f t="shared" si="7"/>
        <v>4.0000000000000036E-3</v>
      </c>
      <c r="Y42" s="43">
        <f t="shared" si="7"/>
        <v>9.0000000000000011E-3</v>
      </c>
      <c r="Z42" s="43">
        <f t="shared" si="7"/>
        <v>0.24899999999999997</v>
      </c>
      <c r="AA42" s="43">
        <f t="shared" si="7"/>
        <v>0.24399999999999997</v>
      </c>
    </row>
    <row r="43" spans="1:27" x14ac:dyDescent="0.25">
      <c r="A43" s="9" t="s">
        <v>4</v>
      </c>
      <c r="B43" s="41">
        <f t="shared" si="3"/>
        <v>0.30499999999999999</v>
      </c>
      <c r="C43" s="41">
        <f t="shared" si="3"/>
        <v>0.28100000000000003</v>
      </c>
      <c r="D43" s="41">
        <f>D21-D32</f>
        <v>0.27300000000000002</v>
      </c>
      <c r="E43" s="42">
        <f t="shared" si="3"/>
        <v>0.27300000000000002</v>
      </c>
      <c r="F43" s="42">
        <f t="shared" si="3"/>
        <v>0.23899999999999999</v>
      </c>
      <c r="G43" s="42">
        <f t="shared" si="3"/>
        <v>0.28000000000000003</v>
      </c>
      <c r="H43" s="112">
        <f t="shared" si="3"/>
        <v>0.246</v>
      </c>
      <c r="I43" s="112">
        <f t="shared" si="3"/>
        <v>0.255</v>
      </c>
      <c r="J43" s="112">
        <f t="shared" si="3"/>
        <v>0.29400000000000004</v>
      </c>
      <c r="K43" s="44">
        <f t="shared" si="3"/>
        <v>4.0000000000000036E-3</v>
      </c>
      <c r="L43" s="43">
        <f t="shared" si="3"/>
        <v>0.17199999999999999</v>
      </c>
      <c r="M43" s="43">
        <f t="shared" si="3"/>
        <v>0.16399999999999998</v>
      </c>
      <c r="O43" s="9" t="s">
        <v>4</v>
      </c>
      <c r="P43" s="41">
        <f t="shared" ref="P43" si="8">P21-P32</f>
        <v>0.313</v>
      </c>
      <c r="Q43" s="41">
        <f>Q21-Q32</f>
        <v>0.26700000000000002</v>
      </c>
      <c r="R43" s="41">
        <f>R21-R32</f>
        <v>0.23300000000000001</v>
      </c>
      <c r="S43" s="66">
        <f t="shared" ref="S43:AA43" si="9">S21-S32</f>
        <v>0.13800000000000001</v>
      </c>
      <c r="T43" s="66">
        <f t="shared" si="9"/>
        <v>0.13400000000000001</v>
      </c>
      <c r="U43" s="66">
        <f t="shared" si="9"/>
        <v>0.124</v>
      </c>
      <c r="V43" s="67">
        <f t="shared" si="9"/>
        <v>4.0000000000000036E-3</v>
      </c>
      <c r="W43" s="67">
        <f t="shared" si="9"/>
        <v>6.9999999999999993E-3</v>
      </c>
      <c r="X43" s="67">
        <f t="shared" si="9"/>
        <v>4.0000000000000036E-3</v>
      </c>
      <c r="Y43" s="44">
        <f t="shared" si="9"/>
        <v>5.0000000000000044E-3</v>
      </c>
      <c r="Z43" s="43">
        <f t="shared" si="9"/>
        <v>0.16499999999999998</v>
      </c>
      <c r="AA43" s="43">
        <f t="shared" si="9"/>
        <v>0.16200000000000001</v>
      </c>
    </row>
    <row r="44" spans="1:27" x14ac:dyDescent="0.25">
      <c r="A44" s="9" t="s">
        <v>5</v>
      </c>
      <c r="B44" s="41">
        <f t="shared" si="3"/>
        <v>0.26900000000000002</v>
      </c>
      <c r="C44" s="41">
        <f t="shared" si="3"/>
        <v>0.22000000000000003</v>
      </c>
      <c r="D44" s="41">
        <f t="shared" si="3"/>
        <v>0.23300000000000001</v>
      </c>
      <c r="E44" s="42">
        <f t="shared" si="3"/>
        <v>0.41100000000000003</v>
      </c>
      <c r="F44" s="42">
        <f t="shared" si="3"/>
        <v>0.23000000000000004</v>
      </c>
      <c r="G44" s="42">
        <f t="shared" si="3"/>
        <v>0.23300000000000004</v>
      </c>
      <c r="H44" s="41">
        <f t="shared" si="3"/>
        <v>0.254</v>
      </c>
      <c r="I44" s="41">
        <f t="shared" si="3"/>
        <v>0.27600000000000002</v>
      </c>
      <c r="J44" s="41">
        <f t="shared" si="3"/>
        <v>0.33600000000000002</v>
      </c>
      <c r="K44" s="44">
        <f t="shared" si="3"/>
        <v>3.0000000000000027E-3</v>
      </c>
      <c r="L44" s="43">
        <f t="shared" si="3"/>
        <v>9.3000000000000013E-2</v>
      </c>
      <c r="M44" s="43">
        <f t="shared" si="3"/>
        <v>9.8999999999999991E-2</v>
      </c>
      <c r="O44" s="9" t="s">
        <v>5</v>
      </c>
      <c r="P44" s="41">
        <f t="shared" ref="P44:AA44" si="10">P22-P33</f>
        <v>0.30300000000000005</v>
      </c>
      <c r="Q44" s="41">
        <f t="shared" si="10"/>
        <v>0.23</v>
      </c>
      <c r="R44" s="41">
        <f t="shared" si="10"/>
        <v>0.27600000000000002</v>
      </c>
      <c r="S44" s="42">
        <f t="shared" si="10"/>
        <v>0.224</v>
      </c>
      <c r="T44" s="42">
        <f t="shared" si="10"/>
        <v>0.18099999999999999</v>
      </c>
      <c r="U44" s="42">
        <f t="shared" si="10"/>
        <v>0.159</v>
      </c>
      <c r="V44" s="67">
        <f t="shared" si="10"/>
        <v>4.0000000000000036E-3</v>
      </c>
      <c r="W44" s="67">
        <f t="shared" si="10"/>
        <v>5.0000000000000044E-3</v>
      </c>
      <c r="X44" s="67">
        <f t="shared" si="10"/>
        <v>5.0000000000000044E-3</v>
      </c>
      <c r="Y44" s="44">
        <f t="shared" si="10"/>
        <v>4.0000000000000036E-3</v>
      </c>
      <c r="Z44" s="43">
        <f t="shared" si="10"/>
        <v>0.10100000000000001</v>
      </c>
      <c r="AA44" s="43">
        <f t="shared" si="10"/>
        <v>0.10099999999999999</v>
      </c>
    </row>
    <row r="45" spans="1:27" x14ac:dyDescent="0.25">
      <c r="A45" s="9" t="s">
        <v>6</v>
      </c>
      <c r="B45" s="41">
        <f t="shared" si="3"/>
        <v>0.33900000000000002</v>
      </c>
      <c r="C45" s="41">
        <f t="shared" si="3"/>
        <v>0.26200000000000001</v>
      </c>
      <c r="D45" s="41">
        <f t="shared" si="3"/>
        <v>0.27200000000000002</v>
      </c>
      <c r="E45" s="42">
        <f t="shared" si="3"/>
        <v>0.23299999999999998</v>
      </c>
      <c r="F45" s="42">
        <f t="shared" si="3"/>
        <v>0.24099999999999999</v>
      </c>
      <c r="G45" s="42">
        <f t="shared" si="3"/>
        <v>0.20500000000000002</v>
      </c>
      <c r="H45" s="41">
        <f t="shared" si="3"/>
        <v>0.35200000000000004</v>
      </c>
      <c r="I45" s="41">
        <f t="shared" si="3"/>
        <v>0.312</v>
      </c>
      <c r="J45" s="41">
        <f t="shared" si="3"/>
        <v>0.28699999999999998</v>
      </c>
      <c r="K45" s="45">
        <f>K23-K34</f>
        <v>4.0000000000000036E-3</v>
      </c>
      <c r="L45" s="43">
        <f t="shared" si="3"/>
        <v>5.5E-2</v>
      </c>
      <c r="M45" s="43">
        <f t="shared" si="3"/>
        <v>4.5999999999999992E-2</v>
      </c>
      <c r="O45" s="9" t="s">
        <v>6</v>
      </c>
      <c r="P45" s="41">
        <f t="shared" ref="P45:X45" si="11">P23-P34</f>
        <v>0.311</v>
      </c>
      <c r="Q45" s="41">
        <f t="shared" si="11"/>
        <v>0.28300000000000003</v>
      </c>
      <c r="R45" s="41">
        <f t="shared" si="11"/>
        <v>0.28100000000000003</v>
      </c>
      <c r="S45" s="42">
        <f t="shared" si="11"/>
        <v>0.152</v>
      </c>
      <c r="T45" s="42">
        <f t="shared" si="11"/>
        <v>0.15</v>
      </c>
      <c r="U45" s="42">
        <f t="shared" si="11"/>
        <v>0.155</v>
      </c>
      <c r="V45" s="67">
        <f t="shared" si="11"/>
        <v>4.0000000000000036E-3</v>
      </c>
      <c r="W45" s="67">
        <f t="shared" si="11"/>
        <v>3.0000000000000027E-3</v>
      </c>
      <c r="X45" s="67">
        <f t="shared" si="11"/>
        <v>4.0000000000000036E-3</v>
      </c>
      <c r="Y45" s="45">
        <f>Y23-Y34</f>
        <v>5.0000000000000044E-3</v>
      </c>
      <c r="Z45" s="43">
        <f t="shared" ref="Z45:AA45" si="12">Z23-Z34</f>
        <v>5.5E-2</v>
      </c>
      <c r="AA45" s="43">
        <f t="shared" si="12"/>
        <v>5.2999999999999999E-2</v>
      </c>
    </row>
    <row r="46" spans="1:27" x14ac:dyDescent="0.25">
      <c r="A46" s="9" t="s">
        <v>7</v>
      </c>
      <c r="B46" s="41">
        <f t="shared" si="3"/>
        <v>0.28200000000000003</v>
      </c>
      <c r="C46" s="41">
        <f t="shared" si="3"/>
        <v>0.27400000000000002</v>
      </c>
      <c r="D46" s="41">
        <f t="shared" si="3"/>
        <v>0.27500000000000002</v>
      </c>
      <c r="E46" s="42">
        <f t="shared" si="3"/>
        <v>0.33400000000000002</v>
      </c>
      <c r="F46" s="42">
        <f t="shared" si="3"/>
        <v>0.36200000000000004</v>
      </c>
      <c r="G46" s="42">
        <f t="shared" si="3"/>
        <v>0.28500000000000003</v>
      </c>
      <c r="H46" s="41">
        <f t="shared" si="3"/>
        <v>0.34</v>
      </c>
      <c r="I46" s="41">
        <f t="shared" si="3"/>
        <v>0.26500000000000001</v>
      </c>
      <c r="J46" s="41">
        <f t="shared" si="3"/>
        <v>0.25800000000000001</v>
      </c>
      <c r="K46" s="45">
        <f t="shared" si="3"/>
        <v>4.0000000000000036E-3</v>
      </c>
      <c r="L46" s="43">
        <f t="shared" si="3"/>
        <v>2.7000000000000003E-2</v>
      </c>
      <c r="M46" s="43">
        <f t="shared" si="3"/>
        <v>2.7000000000000003E-2</v>
      </c>
      <c r="O46" s="9" t="s">
        <v>7</v>
      </c>
      <c r="P46" s="41">
        <f t="shared" ref="P46:AA46" si="13">P24-P35</f>
        <v>0.33600000000000002</v>
      </c>
      <c r="Q46" s="41">
        <f t="shared" si="13"/>
        <v>0.315</v>
      </c>
      <c r="R46" s="41">
        <f t="shared" si="13"/>
        <v>0.29500000000000004</v>
      </c>
      <c r="S46" s="42">
        <f t="shared" si="13"/>
        <v>0.35900000000000004</v>
      </c>
      <c r="T46" s="42">
        <f t="shared" si="13"/>
        <v>0.33200000000000002</v>
      </c>
      <c r="U46" s="42">
        <f t="shared" si="13"/>
        <v>0.34600000000000003</v>
      </c>
      <c r="V46" s="67">
        <f t="shared" si="13"/>
        <v>4.0000000000000036E-3</v>
      </c>
      <c r="W46" s="67">
        <f t="shared" si="13"/>
        <v>4.0000000000000036E-3</v>
      </c>
      <c r="X46" s="67">
        <f t="shared" si="13"/>
        <v>4.0000000000000036E-3</v>
      </c>
      <c r="Y46" s="45">
        <f t="shared" si="13"/>
        <v>4.0000000000000036E-3</v>
      </c>
      <c r="Z46" s="43">
        <f t="shared" si="13"/>
        <v>2.8000000000000004E-2</v>
      </c>
      <c r="AA46" s="43">
        <f t="shared" si="13"/>
        <v>2.7000000000000003E-2</v>
      </c>
    </row>
    <row r="47" spans="1:27" x14ac:dyDescent="0.25">
      <c r="K47" s="100">
        <f>AVERAGE(K45,K46)</f>
        <v>4.0000000000000036E-3</v>
      </c>
      <c r="Y47" s="106">
        <f>AVERAGE(Y45,Y46)</f>
        <v>4.500000000000004E-3</v>
      </c>
    </row>
    <row r="50" spans="1:27" x14ac:dyDescent="0.25">
      <c r="A50" s="48" t="s">
        <v>74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O50" s="48" t="s">
        <v>74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s="8"/>
      <c r="B51" s="10">
        <v>1</v>
      </c>
      <c r="C51" s="10">
        <v>2</v>
      </c>
      <c r="D51" s="10">
        <v>3</v>
      </c>
      <c r="E51" s="11">
        <v>4</v>
      </c>
      <c r="F51" s="11">
        <v>5</v>
      </c>
      <c r="G51" s="11">
        <v>6</v>
      </c>
      <c r="H51" s="10">
        <v>7</v>
      </c>
      <c r="I51" s="10">
        <v>8</v>
      </c>
      <c r="J51" s="10">
        <v>9</v>
      </c>
      <c r="K51" s="12">
        <v>10</v>
      </c>
      <c r="L51" s="12">
        <v>11</v>
      </c>
      <c r="M51" s="12">
        <v>12</v>
      </c>
      <c r="O51" s="8"/>
      <c r="P51" s="10">
        <v>1</v>
      </c>
      <c r="Q51" s="10">
        <v>2</v>
      </c>
      <c r="R51" s="10">
        <v>3</v>
      </c>
      <c r="S51" s="11">
        <v>4</v>
      </c>
      <c r="T51" s="11">
        <v>5</v>
      </c>
      <c r="U51" s="11">
        <v>6</v>
      </c>
      <c r="V51" s="10">
        <v>7</v>
      </c>
      <c r="W51" s="10">
        <v>8</v>
      </c>
      <c r="X51" s="10">
        <v>9</v>
      </c>
      <c r="Y51" s="12">
        <v>10</v>
      </c>
      <c r="Z51" s="12">
        <v>11</v>
      </c>
      <c r="AA51" s="12">
        <v>12</v>
      </c>
    </row>
    <row r="52" spans="1:27" x14ac:dyDescent="0.25">
      <c r="A52" s="9" t="s">
        <v>0</v>
      </c>
      <c r="B52" s="39">
        <f>B39-$K$47</f>
        <v>0.314</v>
      </c>
      <c r="C52" s="39">
        <f t="shared" ref="C52:M52" si="14">C39-$K$47</f>
        <v>0.36499999999999999</v>
      </c>
      <c r="D52" s="39">
        <f t="shared" si="14"/>
        <v>0.28100000000000003</v>
      </c>
      <c r="E52" s="40">
        <f t="shared" si="14"/>
        <v>0.21400000000000002</v>
      </c>
      <c r="F52" s="40">
        <f t="shared" si="14"/>
        <v>0.27900000000000003</v>
      </c>
      <c r="G52" s="40">
        <f t="shared" si="14"/>
        <v>0.27400000000000002</v>
      </c>
      <c r="H52" s="39">
        <f t="shared" si="14"/>
        <v>0.23899999999999999</v>
      </c>
      <c r="I52" s="39">
        <f t="shared" si="14"/>
        <v>0.32</v>
      </c>
      <c r="J52" s="39">
        <f t="shared" si="14"/>
        <v>0.28800000000000003</v>
      </c>
      <c r="K52" s="103">
        <f t="shared" si="14"/>
        <v>9.999999999999995E-3</v>
      </c>
      <c r="L52" s="103">
        <f t="shared" si="14"/>
        <v>0.42699999999999999</v>
      </c>
      <c r="M52" s="103">
        <f t="shared" si="14"/>
        <v>0.48100000000000004</v>
      </c>
      <c r="O52" s="9" t="s">
        <v>0</v>
      </c>
      <c r="P52" s="105">
        <f>P39-$Y$47</f>
        <v>0.31950000000000001</v>
      </c>
      <c r="Q52" s="105">
        <f t="shared" ref="Q52:AA52" si="15">Q39-$Y$47</f>
        <v>0.28850000000000003</v>
      </c>
      <c r="R52" s="105">
        <f t="shared" si="15"/>
        <v>0.27250000000000002</v>
      </c>
      <c r="S52" s="107">
        <f t="shared" si="15"/>
        <v>0.27650000000000002</v>
      </c>
      <c r="T52" s="107">
        <f t="shared" si="15"/>
        <v>0.28850000000000003</v>
      </c>
      <c r="U52" s="107">
        <f t="shared" si="15"/>
        <v>0.30549999999999999</v>
      </c>
      <c r="V52" s="105">
        <f t="shared" si="15"/>
        <v>0.23850000000000002</v>
      </c>
      <c r="W52" s="105">
        <f t="shared" si="15"/>
        <v>0.2535</v>
      </c>
      <c r="X52" s="105">
        <f t="shared" si="15"/>
        <v>0.26850000000000002</v>
      </c>
      <c r="Y52" s="109">
        <f t="shared" si="15"/>
        <v>1.1499999999999996E-2</v>
      </c>
      <c r="Z52" s="109">
        <f t="shared" si="15"/>
        <v>0.4995</v>
      </c>
      <c r="AA52" s="109">
        <f t="shared" si="15"/>
        <v>0.48850000000000005</v>
      </c>
    </row>
    <row r="53" spans="1:27" x14ac:dyDescent="0.25">
      <c r="A53" s="9" t="s">
        <v>1</v>
      </c>
      <c r="B53" s="39">
        <f t="shared" ref="B53:M53" si="16">B40-$K$47</f>
        <v>0.31900000000000001</v>
      </c>
      <c r="C53" s="39">
        <f t="shared" si="16"/>
        <v>0.34200000000000003</v>
      </c>
      <c r="D53" s="39">
        <f t="shared" si="16"/>
        <v>0.28799999999999998</v>
      </c>
      <c r="E53" s="40">
        <f t="shared" si="16"/>
        <v>0.31</v>
      </c>
      <c r="F53" s="40">
        <f t="shared" si="16"/>
        <v>0.29099999999999998</v>
      </c>
      <c r="G53" s="40">
        <f t="shared" si="16"/>
        <v>0.22699999999999998</v>
      </c>
      <c r="H53" s="101">
        <f t="shared" si="16"/>
        <v>1.9999999999999948E-3</v>
      </c>
      <c r="I53" s="101">
        <f t="shared" si="16"/>
        <v>-1.0000000000000009E-3</v>
      </c>
      <c r="J53" s="101">
        <f t="shared" si="16"/>
        <v>1.0000000000000009E-3</v>
      </c>
      <c r="K53" s="103">
        <f t="shared" si="16"/>
        <v>3.9999999999999966E-3</v>
      </c>
      <c r="L53" s="103">
        <f t="shared" si="16"/>
        <v>0.33799999999999997</v>
      </c>
      <c r="M53" s="103">
        <f t="shared" si="16"/>
        <v>0.49500000000000005</v>
      </c>
      <c r="O53" s="9" t="s">
        <v>1</v>
      </c>
      <c r="P53" s="105">
        <f t="shared" ref="P53:AA53" si="17">P40-$Y$47</f>
        <v>0.26050000000000001</v>
      </c>
      <c r="Q53" s="105">
        <f t="shared" si="17"/>
        <v>0.22650000000000001</v>
      </c>
      <c r="R53" s="105">
        <f t="shared" si="17"/>
        <v>0.2215</v>
      </c>
      <c r="S53" s="107">
        <f t="shared" si="17"/>
        <v>0.2195</v>
      </c>
      <c r="T53" s="107">
        <f t="shared" si="17"/>
        <v>0.20649999999999999</v>
      </c>
      <c r="U53" s="107">
        <f t="shared" si="17"/>
        <v>0.22450000000000001</v>
      </c>
      <c r="V53" s="105">
        <f t="shared" si="17"/>
        <v>0.28350000000000003</v>
      </c>
      <c r="W53" s="105">
        <f t="shared" si="17"/>
        <v>0.27750000000000002</v>
      </c>
      <c r="X53" s="105">
        <f t="shared" si="17"/>
        <v>0.26250000000000001</v>
      </c>
      <c r="Y53" s="109">
        <f t="shared" si="17"/>
        <v>6.4999999999999988E-3</v>
      </c>
      <c r="Z53" s="109">
        <f t="shared" si="17"/>
        <v>0.46750000000000003</v>
      </c>
      <c r="AA53" s="109">
        <f t="shared" si="17"/>
        <v>0.42150000000000004</v>
      </c>
    </row>
    <row r="54" spans="1:27" x14ac:dyDescent="0.25">
      <c r="A54" s="9" t="s">
        <v>2</v>
      </c>
      <c r="B54" s="39">
        <f t="shared" ref="B54:M54" si="18">B41-$K$47</f>
        <v>0.375</v>
      </c>
      <c r="C54" s="39">
        <f t="shared" si="18"/>
        <v>0.24099999999999999</v>
      </c>
      <c r="D54" s="39">
        <f t="shared" si="18"/>
        <v>0.22000000000000003</v>
      </c>
      <c r="E54" s="113">
        <f t="shared" si="18"/>
        <v>0.20700000000000002</v>
      </c>
      <c r="F54" s="113">
        <f t="shared" si="18"/>
        <v>0.21600000000000003</v>
      </c>
      <c r="G54" s="113">
        <f t="shared" si="18"/>
        <v>0.19500000000000001</v>
      </c>
      <c r="H54" s="39">
        <f t="shared" si="18"/>
        <v>0.24299999999999999</v>
      </c>
      <c r="I54" s="39">
        <f t="shared" si="18"/>
        <v>0.22699999999999998</v>
      </c>
      <c r="J54" s="39">
        <f t="shared" si="18"/>
        <v>0.24199999999999999</v>
      </c>
      <c r="K54" s="103">
        <f t="shared" si="18"/>
        <v>1.1999999999999997E-2</v>
      </c>
      <c r="L54" s="103">
        <f t="shared" si="18"/>
        <v>0.28199999999999997</v>
      </c>
      <c r="M54" s="103">
        <f t="shared" si="18"/>
        <v>0.36099999999999999</v>
      </c>
      <c r="O54" s="9" t="s">
        <v>2</v>
      </c>
      <c r="P54" s="105">
        <f t="shared" ref="P54:AA54" si="19">P41-$Y$47</f>
        <v>0.28250000000000003</v>
      </c>
      <c r="Q54" s="105">
        <f t="shared" si="19"/>
        <v>0.27450000000000002</v>
      </c>
      <c r="R54" s="105">
        <f t="shared" si="19"/>
        <v>0.24349999999999997</v>
      </c>
      <c r="S54" s="107">
        <f t="shared" si="19"/>
        <v>0.22450000000000001</v>
      </c>
      <c r="T54" s="107">
        <f t="shared" si="19"/>
        <v>0.21149999999999999</v>
      </c>
      <c r="U54" s="107">
        <f t="shared" si="19"/>
        <v>0.23550000000000001</v>
      </c>
      <c r="V54" s="105">
        <f t="shared" si="19"/>
        <v>-5.0000000000000044E-4</v>
      </c>
      <c r="W54" s="105">
        <f t="shared" si="19"/>
        <v>-5.0000000000000738E-4</v>
      </c>
      <c r="X54" s="105">
        <f t="shared" si="19"/>
        <v>-5.0000000000000044E-4</v>
      </c>
      <c r="Y54" s="109">
        <f t="shared" si="19"/>
        <v>9.4999999999999946E-3</v>
      </c>
      <c r="Z54" s="109">
        <f t="shared" si="19"/>
        <v>0.36050000000000004</v>
      </c>
      <c r="AA54" s="109">
        <f t="shared" si="19"/>
        <v>0.34250000000000003</v>
      </c>
    </row>
    <row r="55" spans="1:27" x14ac:dyDescent="0.25">
      <c r="A55" s="9" t="s">
        <v>3</v>
      </c>
      <c r="B55" s="39">
        <f t="shared" ref="B55:M55" si="20">B42-$K$47</f>
        <v>0.33600000000000002</v>
      </c>
      <c r="C55" s="39">
        <f t="shared" si="20"/>
        <v>0.27400000000000002</v>
      </c>
      <c r="D55" s="39">
        <f t="shared" si="20"/>
        <v>0.22899999999999998</v>
      </c>
      <c r="E55" s="114">
        <f t="shared" si="20"/>
        <v>0</v>
      </c>
      <c r="F55" s="114">
        <f t="shared" si="20"/>
        <v>-1.0000000000000009E-3</v>
      </c>
      <c r="G55" s="114">
        <f t="shared" si="20"/>
        <v>0</v>
      </c>
      <c r="H55" s="39">
        <f t="shared" si="20"/>
        <v>0.26600000000000001</v>
      </c>
      <c r="I55" s="39">
        <f t="shared" si="20"/>
        <v>0.19600000000000001</v>
      </c>
      <c r="J55" s="39">
        <f t="shared" si="20"/>
        <v>0.192</v>
      </c>
      <c r="K55" s="103">
        <f t="shared" si="20"/>
        <v>3.9999999999999966E-3</v>
      </c>
      <c r="L55" s="103">
        <f t="shared" si="20"/>
        <v>0.251</v>
      </c>
      <c r="M55" s="103">
        <f t="shared" si="20"/>
        <v>0.26500000000000001</v>
      </c>
      <c r="O55" s="9" t="s">
        <v>3</v>
      </c>
      <c r="P55" s="105">
        <f t="shared" ref="P55:AA55" si="21">P42-$Y$47</f>
        <v>0.26650000000000001</v>
      </c>
      <c r="Q55" s="105">
        <f t="shared" si="21"/>
        <v>0.23950000000000002</v>
      </c>
      <c r="R55" s="105">
        <f t="shared" si="21"/>
        <v>0.24149999999999999</v>
      </c>
      <c r="S55" s="107">
        <f t="shared" si="21"/>
        <v>0.25750000000000001</v>
      </c>
      <c r="T55" s="107">
        <f t="shared" si="21"/>
        <v>0.23650000000000002</v>
      </c>
      <c r="U55" s="107">
        <f t="shared" si="21"/>
        <v>0.23650000000000002</v>
      </c>
      <c r="V55" s="105">
        <f t="shared" si="21"/>
        <v>4.9999999999999351E-4</v>
      </c>
      <c r="W55" s="105">
        <f t="shared" si="21"/>
        <v>-5.0000000000000044E-4</v>
      </c>
      <c r="X55" s="105">
        <f t="shared" si="21"/>
        <v>-5.0000000000000044E-4</v>
      </c>
      <c r="Y55" s="109">
        <f t="shared" si="21"/>
        <v>4.4999999999999971E-3</v>
      </c>
      <c r="Z55" s="109">
        <f t="shared" si="21"/>
        <v>0.24449999999999997</v>
      </c>
      <c r="AA55" s="109">
        <f t="shared" si="21"/>
        <v>0.23949999999999996</v>
      </c>
    </row>
    <row r="56" spans="1:27" x14ac:dyDescent="0.25">
      <c r="A56" s="9" t="s">
        <v>4</v>
      </c>
      <c r="B56" s="39">
        <f t="shared" ref="B56:M56" si="22">B43-$K$47</f>
        <v>0.30099999999999999</v>
      </c>
      <c r="C56" s="39">
        <f t="shared" si="22"/>
        <v>0.27700000000000002</v>
      </c>
      <c r="D56" s="39">
        <f t="shared" si="22"/>
        <v>0.26900000000000002</v>
      </c>
      <c r="E56" s="40">
        <f t="shared" si="22"/>
        <v>0.26900000000000002</v>
      </c>
      <c r="F56" s="40">
        <f t="shared" si="22"/>
        <v>0.23499999999999999</v>
      </c>
      <c r="G56" s="40">
        <f t="shared" si="22"/>
        <v>0.27600000000000002</v>
      </c>
      <c r="H56" s="115">
        <f t="shared" si="22"/>
        <v>0.24199999999999999</v>
      </c>
      <c r="I56" s="115">
        <f t="shared" si="22"/>
        <v>0.251</v>
      </c>
      <c r="J56" s="115">
        <f t="shared" si="22"/>
        <v>0.29000000000000004</v>
      </c>
      <c r="K56" s="104">
        <f t="shared" si="22"/>
        <v>0</v>
      </c>
      <c r="L56" s="103">
        <f t="shared" si="22"/>
        <v>0.16799999999999998</v>
      </c>
      <c r="M56" s="103">
        <f t="shared" si="22"/>
        <v>0.15999999999999998</v>
      </c>
      <c r="O56" s="9" t="s">
        <v>4</v>
      </c>
      <c r="P56" s="105">
        <f t="shared" ref="P56:AA56" si="23">P43-$Y$47</f>
        <v>0.3085</v>
      </c>
      <c r="Q56" s="105">
        <f t="shared" si="23"/>
        <v>0.26250000000000001</v>
      </c>
      <c r="R56" s="105">
        <f t="shared" si="23"/>
        <v>0.22850000000000001</v>
      </c>
      <c r="S56" s="107">
        <f t="shared" si="23"/>
        <v>0.13350000000000001</v>
      </c>
      <c r="T56" s="107">
        <f t="shared" si="23"/>
        <v>0.1295</v>
      </c>
      <c r="U56" s="107">
        <f t="shared" si="23"/>
        <v>0.1195</v>
      </c>
      <c r="V56" s="105">
        <f t="shared" si="23"/>
        <v>-5.0000000000000044E-4</v>
      </c>
      <c r="W56" s="105">
        <f t="shared" si="23"/>
        <v>2.4999999999999953E-3</v>
      </c>
      <c r="X56" s="105">
        <f t="shared" si="23"/>
        <v>-5.0000000000000044E-4</v>
      </c>
      <c r="Y56" s="110">
        <f t="shared" si="23"/>
        <v>5.0000000000000044E-4</v>
      </c>
      <c r="Z56" s="109">
        <f t="shared" si="23"/>
        <v>0.16049999999999998</v>
      </c>
      <c r="AA56" s="109">
        <f t="shared" si="23"/>
        <v>0.1575</v>
      </c>
    </row>
    <row r="57" spans="1:27" x14ac:dyDescent="0.25">
      <c r="A57" s="9" t="s">
        <v>5</v>
      </c>
      <c r="B57" s="39">
        <f t="shared" ref="B57:M57" si="24">B44-$K$47</f>
        <v>0.26500000000000001</v>
      </c>
      <c r="C57" s="39">
        <f t="shared" si="24"/>
        <v>0.21600000000000003</v>
      </c>
      <c r="D57" s="39">
        <f t="shared" si="24"/>
        <v>0.22900000000000001</v>
      </c>
      <c r="E57" s="40">
        <f t="shared" si="24"/>
        <v>0.40700000000000003</v>
      </c>
      <c r="F57" s="40">
        <f t="shared" si="24"/>
        <v>0.22600000000000003</v>
      </c>
      <c r="G57" s="40">
        <f t="shared" si="24"/>
        <v>0.22900000000000004</v>
      </c>
      <c r="H57" s="39">
        <f t="shared" si="24"/>
        <v>0.25</v>
      </c>
      <c r="I57" s="39">
        <f t="shared" si="24"/>
        <v>0.27200000000000002</v>
      </c>
      <c r="J57" s="39">
        <f t="shared" si="24"/>
        <v>0.33200000000000002</v>
      </c>
      <c r="K57" s="104">
        <f t="shared" si="24"/>
        <v>-1.0000000000000009E-3</v>
      </c>
      <c r="L57" s="103">
        <f t="shared" si="24"/>
        <v>8.900000000000001E-2</v>
      </c>
      <c r="M57" s="103">
        <f t="shared" si="24"/>
        <v>9.4999999999999987E-2</v>
      </c>
      <c r="O57" s="9" t="s">
        <v>5</v>
      </c>
      <c r="P57" s="105">
        <f t="shared" ref="P57:AA57" si="25">P44-$Y$47</f>
        <v>0.29850000000000004</v>
      </c>
      <c r="Q57" s="105">
        <f t="shared" si="25"/>
        <v>0.22550000000000001</v>
      </c>
      <c r="R57" s="105">
        <f t="shared" si="25"/>
        <v>0.27150000000000002</v>
      </c>
      <c r="S57" s="107">
        <f t="shared" si="25"/>
        <v>0.2195</v>
      </c>
      <c r="T57" s="107">
        <f t="shared" si="25"/>
        <v>0.17649999999999999</v>
      </c>
      <c r="U57" s="107">
        <f t="shared" si="25"/>
        <v>0.1545</v>
      </c>
      <c r="V57" s="105">
        <f t="shared" si="25"/>
        <v>-5.0000000000000044E-4</v>
      </c>
      <c r="W57" s="105">
        <f t="shared" si="25"/>
        <v>5.0000000000000044E-4</v>
      </c>
      <c r="X57" s="105">
        <f t="shared" si="25"/>
        <v>5.0000000000000044E-4</v>
      </c>
      <c r="Y57" s="110">
        <f t="shared" si="25"/>
        <v>-5.0000000000000044E-4</v>
      </c>
      <c r="Z57" s="109">
        <f t="shared" si="25"/>
        <v>9.6500000000000002E-2</v>
      </c>
      <c r="AA57" s="109">
        <f t="shared" si="25"/>
        <v>9.6499999999999989E-2</v>
      </c>
    </row>
    <row r="58" spans="1:27" x14ac:dyDescent="0.25">
      <c r="A58" s="9" t="s">
        <v>6</v>
      </c>
      <c r="B58" s="39">
        <f t="shared" ref="B58:M58" si="26">B45-$K$47</f>
        <v>0.33500000000000002</v>
      </c>
      <c r="C58" s="39">
        <f t="shared" si="26"/>
        <v>0.25800000000000001</v>
      </c>
      <c r="D58" s="39">
        <f t="shared" si="26"/>
        <v>0.26800000000000002</v>
      </c>
      <c r="E58" s="40">
        <f t="shared" si="26"/>
        <v>0.22899999999999998</v>
      </c>
      <c r="F58" s="40">
        <f t="shared" si="26"/>
        <v>0.23699999999999999</v>
      </c>
      <c r="G58" s="40">
        <f t="shared" si="26"/>
        <v>0.20100000000000001</v>
      </c>
      <c r="H58" s="39">
        <f t="shared" si="26"/>
        <v>0.34800000000000003</v>
      </c>
      <c r="I58" s="39">
        <f t="shared" si="26"/>
        <v>0.308</v>
      </c>
      <c r="J58" s="39">
        <f t="shared" si="26"/>
        <v>0.28299999999999997</v>
      </c>
      <c r="K58" s="102">
        <f t="shared" si="26"/>
        <v>0</v>
      </c>
      <c r="L58" s="103">
        <f t="shared" si="26"/>
        <v>5.0999999999999997E-2</v>
      </c>
      <c r="M58" s="103">
        <f t="shared" si="26"/>
        <v>4.1999999999999989E-2</v>
      </c>
      <c r="O58" s="9" t="s">
        <v>6</v>
      </c>
      <c r="P58" s="105">
        <f t="shared" ref="P58:AA58" si="27">P45-$Y$47</f>
        <v>0.30649999999999999</v>
      </c>
      <c r="Q58" s="105">
        <f t="shared" si="27"/>
        <v>0.27850000000000003</v>
      </c>
      <c r="R58" s="105">
        <f t="shared" si="27"/>
        <v>0.27650000000000002</v>
      </c>
      <c r="S58" s="107">
        <f t="shared" si="27"/>
        <v>0.14749999999999999</v>
      </c>
      <c r="T58" s="107">
        <f t="shared" si="27"/>
        <v>0.14549999999999999</v>
      </c>
      <c r="U58" s="107">
        <f t="shared" si="27"/>
        <v>0.15049999999999999</v>
      </c>
      <c r="V58" s="105">
        <f t="shared" si="27"/>
        <v>-5.0000000000000044E-4</v>
      </c>
      <c r="W58" s="105">
        <f t="shared" si="27"/>
        <v>-1.5000000000000013E-3</v>
      </c>
      <c r="X58" s="105">
        <f t="shared" si="27"/>
        <v>-5.0000000000000044E-4</v>
      </c>
      <c r="Y58" s="108">
        <f t="shared" si="27"/>
        <v>5.0000000000000044E-4</v>
      </c>
      <c r="Z58" s="109">
        <f t="shared" si="27"/>
        <v>5.0499999999999996E-2</v>
      </c>
      <c r="AA58" s="109">
        <f t="shared" si="27"/>
        <v>4.8499999999999995E-2</v>
      </c>
    </row>
    <row r="59" spans="1:27" x14ac:dyDescent="0.25">
      <c r="A59" s="9" t="s">
        <v>7</v>
      </c>
      <c r="B59" s="39">
        <f t="shared" ref="B59:M59" si="28">B46-$K$47</f>
        <v>0.27800000000000002</v>
      </c>
      <c r="C59" s="39">
        <f t="shared" si="28"/>
        <v>0.27</v>
      </c>
      <c r="D59" s="39">
        <f t="shared" si="28"/>
        <v>0.27100000000000002</v>
      </c>
      <c r="E59" s="40">
        <f t="shared" si="28"/>
        <v>0.33</v>
      </c>
      <c r="F59" s="40">
        <f t="shared" si="28"/>
        <v>0.35800000000000004</v>
      </c>
      <c r="G59" s="40">
        <f t="shared" si="28"/>
        <v>0.28100000000000003</v>
      </c>
      <c r="H59" s="39">
        <f t="shared" si="28"/>
        <v>0.33600000000000002</v>
      </c>
      <c r="I59" s="39">
        <f t="shared" si="28"/>
        <v>0.26100000000000001</v>
      </c>
      <c r="J59" s="39">
        <f t="shared" si="28"/>
        <v>0.254</v>
      </c>
      <c r="K59" s="102">
        <f t="shared" si="28"/>
        <v>0</v>
      </c>
      <c r="L59" s="103">
        <f t="shared" si="28"/>
        <v>2.3E-2</v>
      </c>
      <c r="M59" s="103">
        <f t="shared" si="28"/>
        <v>2.3E-2</v>
      </c>
      <c r="O59" s="9" t="s">
        <v>7</v>
      </c>
      <c r="P59" s="105">
        <f t="shared" ref="P59:AA59" si="29">P46-$Y$47</f>
        <v>0.33150000000000002</v>
      </c>
      <c r="Q59" s="105">
        <f t="shared" si="29"/>
        <v>0.3105</v>
      </c>
      <c r="R59" s="105">
        <f t="shared" si="29"/>
        <v>0.29050000000000004</v>
      </c>
      <c r="S59" s="107">
        <f t="shared" si="29"/>
        <v>0.35450000000000004</v>
      </c>
      <c r="T59" s="107">
        <f t="shared" si="29"/>
        <v>0.32750000000000001</v>
      </c>
      <c r="U59" s="107">
        <f t="shared" si="29"/>
        <v>0.34150000000000003</v>
      </c>
      <c r="V59" s="105">
        <f t="shared" si="29"/>
        <v>-5.0000000000000044E-4</v>
      </c>
      <c r="W59" s="105">
        <f t="shared" si="29"/>
        <v>-5.0000000000000044E-4</v>
      </c>
      <c r="X59" s="105">
        <f t="shared" si="29"/>
        <v>-5.0000000000000044E-4</v>
      </c>
      <c r="Y59" s="108">
        <f t="shared" si="29"/>
        <v>-5.0000000000000044E-4</v>
      </c>
      <c r="Z59" s="109">
        <f t="shared" si="29"/>
        <v>2.35E-2</v>
      </c>
      <c r="AA59" s="109">
        <f t="shared" si="29"/>
        <v>2.2499999999999999E-2</v>
      </c>
    </row>
    <row r="63" spans="1:27" x14ac:dyDescent="0.25">
      <c r="A63" s="48" t="s">
        <v>96</v>
      </c>
      <c r="O63" s="48" t="s">
        <v>96</v>
      </c>
    </row>
    <row r="64" spans="1:27" x14ac:dyDescent="0.25">
      <c r="A64" s="8"/>
      <c r="B64" s="10">
        <v>1</v>
      </c>
      <c r="C64" s="10">
        <v>2</v>
      </c>
      <c r="D64" s="10">
        <v>3</v>
      </c>
      <c r="E64" s="11">
        <v>4</v>
      </c>
      <c r="F64" s="11">
        <v>5</v>
      </c>
      <c r="G64" s="11">
        <v>6</v>
      </c>
      <c r="H64" s="10">
        <v>7</v>
      </c>
      <c r="I64" s="10">
        <v>8</v>
      </c>
      <c r="J64" s="10">
        <v>9</v>
      </c>
      <c r="K64" s="12">
        <v>10</v>
      </c>
      <c r="L64" s="12">
        <v>11</v>
      </c>
      <c r="M64" s="12">
        <v>12</v>
      </c>
      <c r="O64" s="8"/>
      <c r="P64" s="10">
        <v>1</v>
      </c>
      <c r="Q64" s="10">
        <v>2</v>
      </c>
      <c r="R64" s="10">
        <v>3</v>
      </c>
      <c r="S64" s="11">
        <v>4</v>
      </c>
      <c r="T64" s="11">
        <v>5</v>
      </c>
      <c r="U64" s="11">
        <v>6</v>
      </c>
      <c r="V64" s="10">
        <v>7</v>
      </c>
      <c r="W64" s="10">
        <v>8</v>
      </c>
      <c r="X64" s="10">
        <v>9</v>
      </c>
      <c r="Y64" s="12">
        <v>10</v>
      </c>
      <c r="Z64" s="12">
        <v>11</v>
      </c>
      <c r="AA64" s="12">
        <v>12</v>
      </c>
    </row>
    <row r="65" spans="1:27" x14ac:dyDescent="0.25">
      <c r="A65" s="9" t="s">
        <v>0</v>
      </c>
      <c r="B65" s="123">
        <f>_xlfn.STDEV.S(B52:D52)</f>
        <v>4.232020793899717E-2</v>
      </c>
      <c r="C65" s="123"/>
      <c r="D65" s="123"/>
      <c r="E65" s="124">
        <f>_xlfn.STDEV.S(E52:G52)</f>
        <v>3.6170890690350913E-2</v>
      </c>
      <c r="F65" s="124"/>
      <c r="G65" s="124"/>
      <c r="H65" s="123">
        <f>_xlfn.STDEV.S(H52:J52)</f>
        <v>4.0796241656963342E-2</v>
      </c>
      <c r="I65" s="123"/>
      <c r="J65" s="123"/>
      <c r="K65" s="96">
        <f>_xlfn.STDEV.S(K52,K54)</f>
        <v>1.4142135623730963E-3</v>
      </c>
      <c r="L65" s="125">
        <f>_xlfn.STDEV.S(L52:M52)</f>
        <v>3.8183766184073605E-2</v>
      </c>
      <c r="M65" s="125"/>
      <c r="O65" s="9" t="s">
        <v>0</v>
      </c>
      <c r="P65" s="123">
        <f>_xlfn.STDEV.S(P52:R52)</f>
        <v>2.3895606290697032E-2</v>
      </c>
      <c r="Q65" s="123"/>
      <c r="R65" s="123"/>
      <c r="S65" s="124">
        <f>_xlfn.STDEV.S(S52:U52)</f>
        <v>1.4571661996262914E-2</v>
      </c>
      <c r="T65" s="124"/>
      <c r="U65" s="124"/>
      <c r="V65" s="123">
        <f>_xlfn.STDEV.S(V52:X52)</f>
        <v>1.4999999999999999E-2</v>
      </c>
      <c r="W65" s="123"/>
      <c r="X65" s="123"/>
      <c r="Y65" s="96">
        <f>_xlfn.STDEV.S(Y52,Y54)</f>
        <v>1.4142135623730963E-3</v>
      </c>
      <c r="Z65" s="125">
        <f>_xlfn.STDEV.S(Z52:AA52)</f>
        <v>7.7781745930519909E-3</v>
      </c>
      <c r="AA65" s="125"/>
    </row>
    <row r="66" spans="1:27" x14ac:dyDescent="0.25">
      <c r="A66" s="9" t="s">
        <v>1</v>
      </c>
      <c r="B66" s="123">
        <f t="shared" ref="B66:B72" si="30">_xlfn.STDEV.S(B53:D53)</f>
        <v>2.7098585448936899E-2</v>
      </c>
      <c r="C66" s="123"/>
      <c r="D66" s="123"/>
      <c r="E66" s="124">
        <f t="shared" ref="E66:E72" si="31">_xlfn.STDEV.S(E53:G53)</f>
        <v>4.3485629810317845E-2</v>
      </c>
      <c r="F66" s="124"/>
      <c r="G66" s="124"/>
      <c r="H66" s="123">
        <f t="shared" ref="H66:H72" si="32">_xlfn.STDEV.S(H53:J53)</f>
        <v>1.5275252316519451E-3</v>
      </c>
      <c r="I66" s="123"/>
      <c r="J66" s="123"/>
      <c r="K66" s="96"/>
      <c r="L66" s="125">
        <f>_xlfn.STDEV.S(L53:M53)</f>
        <v>0.11101576464628829</v>
      </c>
      <c r="M66" s="125"/>
      <c r="O66" s="9" t="s">
        <v>1</v>
      </c>
      <c r="P66" s="123">
        <f t="shared" ref="P66:P72" si="33">_xlfn.STDEV.S(P53:R53)</f>
        <v>2.1221058723196011E-2</v>
      </c>
      <c r="Q66" s="123"/>
      <c r="R66" s="123"/>
      <c r="S66" s="124">
        <f>_xlfn.STDEV.S(S53:U53)</f>
        <v>9.2915732431775779E-3</v>
      </c>
      <c r="T66" s="124"/>
      <c r="U66" s="124"/>
      <c r="V66" s="123">
        <f t="shared" ref="V66" si="34">_xlfn.STDEV.S(V53:X53)</f>
        <v>1.0816653826391976E-2</v>
      </c>
      <c r="W66" s="123"/>
      <c r="X66" s="123"/>
      <c r="Y66" s="96"/>
      <c r="Z66" s="125">
        <f t="shared" ref="Z66:Z72" si="35">_xlfn.STDEV.S(Z53:AA53)</f>
        <v>3.2526911934581175E-2</v>
      </c>
      <c r="AA66" s="125"/>
    </row>
    <row r="67" spans="1:27" x14ac:dyDescent="0.25">
      <c r="A67" s="9" t="s">
        <v>2</v>
      </c>
      <c r="B67" s="123">
        <f t="shared" si="30"/>
        <v>8.4085274176477043E-2</v>
      </c>
      <c r="C67" s="123"/>
      <c r="D67" s="123"/>
      <c r="E67" s="124">
        <f t="shared" si="31"/>
        <v>1.0535653752852748E-2</v>
      </c>
      <c r="F67" s="124"/>
      <c r="G67" s="124"/>
      <c r="H67" s="123">
        <f t="shared" si="32"/>
        <v>8.9628864398325087E-3</v>
      </c>
      <c r="I67" s="123"/>
      <c r="J67" s="123"/>
      <c r="K67" s="97">
        <f>_xlfn.STDEV.S(K53,K55)</f>
        <v>0</v>
      </c>
      <c r="L67" s="125">
        <f t="shared" ref="L67:L72" si="36">_xlfn.STDEV.S(L54:M54)</f>
        <v>5.5861435713736987E-2</v>
      </c>
      <c r="M67" s="125"/>
      <c r="O67" s="9" t="s">
        <v>2</v>
      </c>
      <c r="P67" s="123">
        <f t="shared" si="33"/>
        <v>2.0599352740640536E-2</v>
      </c>
      <c r="Q67" s="123"/>
      <c r="R67" s="123"/>
      <c r="S67" s="124">
        <f t="shared" ref="S67:S72" si="37">_xlfn.STDEV.S(S54:U54)</f>
        <v>1.2013880860626745E-2</v>
      </c>
      <c r="T67" s="124"/>
      <c r="U67" s="124"/>
      <c r="V67" s="126"/>
      <c r="W67" s="126"/>
      <c r="X67" s="126"/>
      <c r="Y67" s="97">
        <f>_xlfn.STDEV.S(Y53,Y55)</f>
        <v>1.4142135623730963E-3</v>
      </c>
      <c r="Z67" s="125">
        <f t="shared" si="35"/>
        <v>1.2727922061357866E-2</v>
      </c>
      <c r="AA67" s="125"/>
    </row>
    <row r="68" spans="1:27" x14ac:dyDescent="0.25">
      <c r="A68" s="9" t="s">
        <v>3</v>
      </c>
      <c r="B68" s="123">
        <f t="shared" si="30"/>
        <v>5.3724606404638497E-2</v>
      </c>
      <c r="C68" s="123"/>
      <c r="D68" s="123"/>
      <c r="E68" s="124">
        <f t="shared" si="31"/>
        <v>5.7735026918962634E-4</v>
      </c>
      <c r="F68" s="124"/>
      <c r="G68" s="124"/>
      <c r="H68" s="123">
        <f t="shared" si="32"/>
        <v>4.1617304093369757E-2</v>
      </c>
      <c r="I68" s="123"/>
      <c r="J68" s="123"/>
      <c r="K68" s="96"/>
      <c r="L68" s="125">
        <f t="shared" si="36"/>
        <v>9.8994949366116736E-3</v>
      </c>
      <c r="M68" s="125"/>
      <c r="O68" s="9" t="s">
        <v>3</v>
      </c>
      <c r="P68" s="123">
        <f t="shared" si="33"/>
        <v>1.5044378795195682E-2</v>
      </c>
      <c r="Q68" s="123"/>
      <c r="R68" s="123"/>
      <c r="S68" s="124">
        <f t="shared" si="37"/>
        <v>1.2124355652982137E-2</v>
      </c>
      <c r="T68" s="124"/>
      <c r="U68" s="124"/>
      <c r="V68" s="126"/>
      <c r="W68" s="126"/>
      <c r="X68" s="126"/>
      <c r="Y68" s="96"/>
      <c r="Z68" s="125">
        <f t="shared" si="35"/>
        <v>3.5355339059327407E-3</v>
      </c>
      <c r="AA68" s="125"/>
    </row>
    <row r="69" spans="1:27" x14ac:dyDescent="0.25">
      <c r="A69" s="9" t="s">
        <v>4</v>
      </c>
      <c r="B69" s="123">
        <f t="shared" si="30"/>
        <v>1.6653327995729043E-2</v>
      </c>
      <c r="C69" s="123"/>
      <c r="D69" s="123"/>
      <c r="E69" s="124">
        <f t="shared" si="31"/>
        <v>2.1931712199461328E-2</v>
      </c>
      <c r="F69" s="124"/>
      <c r="G69" s="124"/>
      <c r="H69" s="123">
        <f t="shared" si="32"/>
        <v>2.5514701644346171E-2</v>
      </c>
      <c r="I69" s="123"/>
      <c r="J69" s="123"/>
      <c r="K69" s="98"/>
      <c r="L69" s="125">
        <f t="shared" si="36"/>
        <v>5.6568542494923853E-3</v>
      </c>
      <c r="M69" s="125"/>
      <c r="O69" s="9" t="s">
        <v>4</v>
      </c>
      <c r="P69" s="123">
        <f t="shared" si="33"/>
        <v>4.0149719799769668E-2</v>
      </c>
      <c r="Q69" s="123"/>
      <c r="R69" s="123"/>
      <c r="S69" s="124">
        <f t="shared" si="37"/>
        <v>7.2111025509279851E-3</v>
      </c>
      <c r="T69" s="124"/>
      <c r="U69" s="124"/>
      <c r="V69" s="126"/>
      <c r="W69" s="126"/>
      <c r="X69" s="126"/>
      <c r="Y69" s="98"/>
      <c r="Z69" s="125">
        <f t="shared" si="35"/>
        <v>2.1213203435596246E-3</v>
      </c>
      <c r="AA69" s="125"/>
    </row>
    <row r="70" spans="1:27" x14ac:dyDescent="0.25">
      <c r="A70" s="9" t="s">
        <v>5</v>
      </c>
      <c r="B70" s="123">
        <f t="shared" si="30"/>
        <v>2.5383721817994562E-2</v>
      </c>
      <c r="C70" s="123"/>
      <c r="D70" s="123"/>
      <c r="E70" s="124">
        <f t="shared" si="31"/>
        <v>0.10364522822268911</v>
      </c>
      <c r="F70" s="124"/>
      <c r="G70" s="124"/>
      <c r="H70" s="123">
        <f t="shared" si="32"/>
        <v>4.244211744639171E-2</v>
      </c>
      <c r="I70" s="123"/>
      <c r="J70" s="123"/>
      <c r="K70" s="98"/>
      <c r="L70" s="125">
        <f t="shared" si="36"/>
        <v>4.2426406871192692E-3</v>
      </c>
      <c r="M70" s="125"/>
      <c r="O70" s="9" t="s">
        <v>5</v>
      </c>
      <c r="P70" s="123">
        <f>_xlfn.STDEV.S(P57:R57)</f>
        <v>3.6909799963333947E-2</v>
      </c>
      <c r="Q70" s="123"/>
      <c r="R70" s="123"/>
      <c r="S70" s="124">
        <f t="shared" si="37"/>
        <v>3.3060550509633135E-2</v>
      </c>
      <c r="T70" s="124"/>
      <c r="U70" s="124"/>
      <c r="V70" s="126"/>
      <c r="W70" s="126"/>
      <c r="X70" s="126"/>
      <c r="Y70" s="98"/>
      <c r="Z70" s="125">
        <f t="shared" si="35"/>
        <v>1.3877787807814457E-17</v>
      </c>
      <c r="AA70" s="125"/>
    </row>
    <row r="71" spans="1:27" x14ac:dyDescent="0.25">
      <c r="A71" s="9" t="s">
        <v>6</v>
      </c>
      <c r="B71" s="123">
        <f t="shared" si="30"/>
        <v>4.1868842830916866E-2</v>
      </c>
      <c r="C71" s="123"/>
      <c r="D71" s="123"/>
      <c r="E71" s="124">
        <f t="shared" si="31"/>
        <v>1.8903262505010419E-2</v>
      </c>
      <c r="F71" s="124"/>
      <c r="G71" s="124"/>
      <c r="H71" s="123">
        <f t="shared" si="32"/>
        <v>3.2787192621510031E-2</v>
      </c>
      <c r="I71" s="123"/>
      <c r="J71" s="123"/>
      <c r="K71" s="99"/>
      <c r="L71" s="125">
        <f t="shared" si="36"/>
        <v>6.3639610306789329E-3</v>
      </c>
      <c r="M71" s="125"/>
      <c r="O71" s="9" t="s">
        <v>6</v>
      </c>
      <c r="P71" s="123">
        <f t="shared" si="33"/>
        <v>1.677299416721215E-2</v>
      </c>
      <c r="Q71" s="123"/>
      <c r="R71" s="123"/>
      <c r="S71" s="124">
        <f t="shared" si="37"/>
        <v>2.5166114784235852E-3</v>
      </c>
      <c r="T71" s="124"/>
      <c r="U71" s="124"/>
      <c r="V71" s="126"/>
      <c r="W71" s="126"/>
      <c r="X71" s="126"/>
      <c r="Y71" s="99"/>
      <c r="Z71" s="125">
        <f>_xlfn.STDEV.S(Z58:AA58)</f>
        <v>1.4142135623730963E-3</v>
      </c>
      <c r="AA71" s="125"/>
    </row>
    <row r="72" spans="1:27" x14ac:dyDescent="0.25">
      <c r="A72" s="9" t="s">
        <v>7</v>
      </c>
      <c r="B72" s="123">
        <f t="shared" si="30"/>
        <v>4.3588989435406778E-3</v>
      </c>
      <c r="C72" s="123"/>
      <c r="D72" s="123"/>
      <c r="E72" s="124">
        <f t="shared" si="31"/>
        <v>3.897435053981016E-2</v>
      </c>
      <c r="F72" s="124"/>
      <c r="G72" s="124"/>
      <c r="H72" s="123">
        <f t="shared" si="32"/>
        <v>4.5456939330902349E-2</v>
      </c>
      <c r="I72" s="123"/>
      <c r="J72" s="123"/>
      <c r="K72" s="99"/>
      <c r="L72" s="125">
        <f t="shared" si="36"/>
        <v>0</v>
      </c>
      <c r="M72" s="125"/>
      <c r="O72" s="9" t="s">
        <v>7</v>
      </c>
      <c r="P72" s="123">
        <f t="shared" si="33"/>
        <v>2.0502032419575697E-2</v>
      </c>
      <c r="Q72" s="123"/>
      <c r="R72" s="123"/>
      <c r="S72" s="124">
        <f t="shared" si="37"/>
        <v>1.3503086067019408E-2</v>
      </c>
      <c r="T72" s="124"/>
      <c r="U72" s="124"/>
      <c r="V72" s="126"/>
      <c r="W72" s="126"/>
      <c r="X72" s="126"/>
      <c r="Y72" s="99"/>
      <c r="Z72" s="125">
        <f t="shared" si="35"/>
        <v>7.0710678118654816E-4</v>
      </c>
      <c r="AA72" s="125"/>
    </row>
  </sheetData>
  <mergeCells count="66">
    <mergeCell ref="P71:R71"/>
    <mergeCell ref="S71:U71"/>
    <mergeCell ref="V71:X71"/>
    <mergeCell ref="Z71:AA71"/>
    <mergeCell ref="P72:R72"/>
    <mergeCell ref="S72:U72"/>
    <mergeCell ref="V72:X72"/>
    <mergeCell ref="Z72:AA72"/>
    <mergeCell ref="P69:R69"/>
    <mergeCell ref="S69:U69"/>
    <mergeCell ref="V69:X69"/>
    <mergeCell ref="Z69:AA69"/>
    <mergeCell ref="P70:R70"/>
    <mergeCell ref="S70:U70"/>
    <mergeCell ref="V70:X70"/>
    <mergeCell ref="Z70:AA70"/>
    <mergeCell ref="P67:R67"/>
    <mergeCell ref="S67:U67"/>
    <mergeCell ref="V67:X67"/>
    <mergeCell ref="Z67:AA67"/>
    <mergeCell ref="P68:R68"/>
    <mergeCell ref="S68:U68"/>
    <mergeCell ref="V68:X68"/>
    <mergeCell ref="Z68:AA68"/>
    <mergeCell ref="H71:J71"/>
    <mergeCell ref="H72:J72"/>
    <mergeCell ref="L66:M66"/>
    <mergeCell ref="L67:M67"/>
    <mergeCell ref="L68:M68"/>
    <mergeCell ref="L69:M69"/>
    <mergeCell ref="L70:M70"/>
    <mergeCell ref="L71:M71"/>
    <mergeCell ref="L72:M72"/>
    <mergeCell ref="B72:D72"/>
    <mergeCell ref="E65:G65"/>
    <mergeCell ref="H65:J65"/>
    <mergeCell ref="L65:M65"/>
    <mergeCell ref="E66:G66"/>
    <mergeCell ref="E67:G67"/>
    <mergeCell ref="E68:G68"/>
    <mergeCell ref="E69:G69"/>
    <mergeCell ref="E70:G70"/>
    <mergeCell ref="E71:G71"/>
    <mergeCell ref="E72:G72"/>
    <mergeCell ref="H66:J66"/>
    <mergeCell ref="H67:J67"/>
    <mergeCell ref="H68:J68"/>
    <mergeCell ref="H69:J69"/>
    <mergeCell ref="H70:J70"/>
    <mergeCell ref="B67:D67"/>
    <mergeCell ref="B68:D68"/>
    <mergeCell ref="B69:D69"/>
    <mergeCell ref="B70:D70"/>
    <mergeCell ref="B71:D71"/>
    <mergeCell ref="A1:M1"/>
    <mergeCell ref="O1:AA1"/>
    <mergeCell ref="B65:D65"/>
    <mergeCell ref="B66:D66"/>
    <mergeCell ref="P65:R65"/>
    <mergeCell ref="S65:U65"/>
    <mergeCell ref="V65:X65"/>
    <mergeCell ref="Z65:AA65"/>
    <mergeCell ref="P66:R66"/>
    <mergeCell ref="S66:U66"/>
    <mergeCell ref="V66:X66"/>
    <mergeCell ref="Z66:AA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zoomScaleNormal="100" workbookViewId="0">
      <selection activeCell="A17" sqref="A17:A26"/>
    </sheetView>
  </sheetViews>
  <sheetFormatPr baseColWidth="10" defaultRowHeight="15" x14ac:dyDescent="0.25"/>
  <cols>
    <col min="1" max="1" width="21.42578125" customWidth="1"/>
    <col min="2" max="2" width="22.28515625" customWidth="1"/>
  </cols>
  <sheetData>
    <row r="1" spans="1:13" x14ac:dyDescent="0.25">
      <c r="A1" s="127" t="s">
        <v>40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</row>
    <row r="2" spans="1:13" x14ac:dyDescent="0.25">
      <c r="A2" s="17" t="s">
        <v>14</v>
      </c>
      <c r="B2" s="17" t="s">
        <v>27</v>
      </c>
      <c r="F2" s="16" t="s">
        <v>15</v>
      </c>
    </row>
    <row r="3" spans="1:13" x14ac:dyDescent="0.25">
      <c r="A3">
        <f>AVERAGE(absorbances!L52:M52)</f>
        <v>0.45400000000000001</v>
      </c>
      <c r="B3">
        <v>25</v>
      </c>
      <c r="F3" s="29">
        <v>0.1336</v>
      </c>
      <c r="G3" s="29">
        <v>11.795</v>
      </c>
    </row>
    <row r="4" spans="1:13" x14ac:dyDescent="0.25">
      <c r="A4">
        <f>AVERAGE(absorbances!L53:M53)</f>
        <v>0.41649999999999998</v>
      </c>
      <c r="B4">
        <v>12.5</v>
      </c>
    </row>
    <row r="5" spans="1:13" x14ac:dyDescent="0.25">
      <c r="A5">
        <f>AVERAGE(absorbances!L54:M54)</f>
        <v>0.32150000000000001</v>
      </c>
      <c r="B5">
        <v>6.25</v>
      </c>
      <c r="F5" s="16" t="s">
        <v>17</v>
      </c>
    </row>
    <row r="6" spans="1:13" x14ac:dyDescent="0.25">
      <c r="A6">
        <f>AVERAGE(absorbances!L55:M55)</f>
        <v>0.25800000000000001</v>
      </c>
      <c r="B6">
        <v>3.125</v>
      </c>
      <c r="F6">
        <f>275/15</f>
        <v>18.333333333333332</v>
      </c>
    </row>
    <row r="7" spans="1:13" x14ac:dyDescent="0.25">
      <c r="A7">
        <f>AVERAGE(absorbances!L56:M56)</f>
        <v>0.16399999999999998</v>
      </c>
      <c r="B7">
        <v>1.56</v>
      </c>
    </row>
    <row r="8" spans="1:13" x14ac:dyDescent="0.25">
      <c r="A8">
        <f>AVERAGE(absorbances!L57:M57)</f>
        <v>9.1999999999999998E-2</v>
      </c>
      <c r="B8">
        <v>0.78</v>
      </c>
    </row>
    <row r="9" spans="1:13" x14ac:dyDescent="0.25">
      <c r="A9">
        <f>AVERAGE(absorbances!L58:M58)</f>
        <v>4.6499999999999993E-2</v>
      </c>
      <c r="B9">
        <v>0.39</v>
      </c>
    </row>
    <row r="10" spans="1:13" x14ac:dyDescent="0.25">
      <c r="A10">
        <f>AVERAGE(absorbances!L59:M59)</f>
        <v>2.3E-2</v>
      </c>
      <c r="B10">
        <v>0.19500000000000001</v>
      </c>
    </row>
    <row r="11" spans="1:13" x14ac:dyDescent="0.25">
      <c r="A11">
        <f>AVERAGE(absorbances!K52,absorbances!K54)</f>
        <v>1.0999999999999996E-2</v>
      </c>
      <c r="B11">
        <f>B10/2</f>
        <v>9.7500000000000003E-2</v>
      </c>
    </row>
    <row r="12" spans="1:13" x14ac:dyDescent="0.25">
      <c r="A12">
        <f>AVERAGE(absorbances!K53,absorbances!K55)</f>
        <v>3.9999999999999966E-3</v>
      </c>
      <c r="B12">
        <f>B11/2</f>
        <v>4.8750000000000002E-2</v>
      </c>
    </row>
    <row r="14" spans="1:13" x14ac:dyDescent="0.25">
      <c r="A14" s="127" t="s">
        <v>76</v>
      </c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1:13" x14ac:dyDescent="0.25">
      <c r="F15" s="16" t="s">
        <v>15</v>
      </c>
    </row>
    <row r="16" spans="1:13" x14ac:dyDescent="0.25">
      <c r="A16" s="17" t="s">
        <v>14</v>
      </c>
      <c r="B16" s="17" t="s">
        <v>27</v>
      </c>
      <c r="F16">
        <v>0.14249999999999999</v>
      </c>
      <c r="G16">
        <v>10.885</v>
      </c>
    </row>
    <row r="17" spans="1:6" x14ac:dyDescent="0.25">
      <c r="A17">
        <f>AVERAGE(absorbances!Z52,absorbances!AA52)</f>
        <v>0.49399999999999999</v>
      </c>
      <c r="B17">
        <v>25</v>
      </c>
    </row>
    <row r="18" spans="1:6" x14ac:dyDescent="0.25">
      <c r="A18">
        <f>AVERAGE(absorbances!Z53,absorbances!AA53)</f>
        <v>0.44450000000000001</v>
      </c>
      <c r="B18">
        <v>12.5</v>
      </c>
      <c r="F18" s="16" t="s">
        <v>17</v>
      </c>
    </row>
    <row r="19" spans="1:6" x14ac:dyDescent="0.25">
      <c r="A19">
        <f>AVERAGE(absorbances!Z54,absorbances!AA54)</f>
        <v>0.35150000000000003</v>
      </c>
      <c r="B19">
        <v>6.25</v>
      </c>
      <c r="F19">
        <f>275/15</f>
        <v>18.333333333333332</v>
      </c>
    </row>
    <row r="20" spans="1:6" x14ac:dyDescent="0.25">
      <c r="A20">
        <f>AVERAGE(absorbances!Z55,absorbances!AA55)</f>
        <v>0.24199999999999997</v>
      </c>
      <c r="B20">
        <v>3.125</v>
      </c>
    </row>
    <row r="21" spans="1:6" x14ac:dyDescent="0.25">
      <c r="A21">
        <f>AVERAGE(absorbances!Z56,absorbances!AA56)</f>
        <v>0.15899999999999997</v>
      </c>
      <c r="B21">
        <v>1.56</v>
      </c>
    </row>
    <row r="22" spans="1:6" x14ac:dyDescent="0.25">
      <c r="A22">
        <f>AVERAGE(absorbances!Z57,absorbances!AA57)</f>
        <v>9.6500000000000002E-2</v>
      </c>
      <c r="B22">
        <v>0.78</v>
      </c>
    </row>
    <row r="23" spans="1:6" x14ac:dyDescent="0.25">
      <c r="A23">
        <f>AVERAGE(absorbances!Z58,absorbances!AA58)</f>
        <v>4.9499999999999995E-2</v>
      </c>
      <c r="B23">
        <v>0.39</v>
      </c>
    </row>
    <row r="24" spans="1:6" x14ac:dyDescent="0.25">
      <c r="A24">
        <f>AVERAGE(absorbances!Z59,absorbances!AA59)</f>
        <v>2.3E-2</v>
      </c>
      <c r="B24">
        <v>0.19500000000000001</v>
      </c>
    </row>
    <row r="25" spans="1:6" x14ac:dyDescent="0.25">
      <c r="A25">
        <f>AVERAGE(absorbances!Y52,absorbances!Y54)</f>
        <v>1.0499999999999995E-2</v>
      </c>
      <c r="B25">
        <f>B24/2</f>
        <v>9.7500000000000003E-2</v>
      </c>
    </row>
    <row r="26" spans="1:6" x14ac:dyDescent="0.25">
      <c r="A26">
        <f>AVERAGE(absorbances!Y53,absorbances!Y55)</f>
        <v>5.4999999999999979E-3</v>
      </c>
      <c r="B26">
        <f>B25/2</f>
        <v>4.8750000000000002E-2</v>
      </c>
    </row>
  </sheetData>
  <mergeCells count="2">
    <mergeCell ref="A1:M1"/>
    <mergeCell ref="A14:M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G7" workbookViewId="0">
      <selection activeCell="K14" sqref="K14"/>
    </sheetView>
  </sheetViews>
  <sheetFormatPr baseColWidth="10" defaultRowHeight="15" x14ac:dyDescent="0.25"/>
  <cols>
    <col min="1" max="3" width="20.85546875" customWidth="1"/>
    <col min="4" max="4" width="29.28515625" customWidth="1"/>
    <col min="5" max="5" width="29" customWidth="1"/>
    <col min="8" max="8" width="19.42578125" customWidth="1"/>
    <col min="10" max="10" width="24.85546875" customWidth="1"/>
    <col min="11" max="11" width="22.28515625" customWidth="1"/>
  </cols>
  <sheetData>
    <row r="1" spans="1:11" x14ac:dyDescent="0.25">
      <c r="A1" s="23" t="s">
        <v>20</v>
      </c>
      <c r="B1" s="23" t="s">
        <v>26</v>
      </c>
      <c r="C1" s="49" t="s">
        <v>21</v>
      </c>
      <c r="D1" s="49" t="s">
        <v>22</v>
      </c>
      <c r="E1" s="24" t="s">
        <v>23</v>
      </c>
      <c r="F1" s="24" t="s">
        <v>75</v>
      </c>
      <c r="H1" s="116" t="s">
        <v>98</v>
      </c>
      <c r="I1" s="116" t="s">
        <v>99</v>
      </c>
      <c r="J1" s="116" t="s">
        <v>100</v>
      </c>
      <c r="K1" s="116" t="s">
        <v>101</v>
      </c>
    </row>
    <row r="2" spans="1:11" x14ac:dyDescent="0.25">
      <c r="A2" s="25">
        <v>1</v>
      </c>
      <c r="B2" s="25" t="str">
        <f>absorbances!B5</f>
        <v>NCHA100078_FA-1</v>
      </c>
      <c r="C2" s="50">
        <v>1.2025999999999999</v>
      </c>
      <c r="D2" s="50">
        <v>1.2104999999999999</v>
      </c>
      <c r="E2" s="26">
        <f>D2-C2</f>
        <v>7.9000000000000181E-3</v>
      </c>
      <c r="F2">
        <v>1</v>
      </c>
      <c r="H2" s="117">
        <f>E2*1000</f>
        <v>7.9000000000000181</v>
      </c>
      <c r="I2" s="117">
        <f>H2+60</f>
        <v>67.90000000000002</v>
      </c>
      <c r="J2">
        <f>I2/H2</f>
        <v>8.5949367088607431</v>
      </c>
      <c r="K2">
        <f>J2*courbe_etalon!$F$6</f>
        <v>157.57383966244694</v>
      </c>
    </row>
    <row r="3" spans="1:11" x14ac:dyDescent="0.25">
      <c r="A3" s="25">
        <f>A2+1</f>
        <v>2</v>
      </c>
      <c r="B3" s="25" t="str">
        <f>absorbances!B6</f>
        <v>NCHA100079_FA-1</v>
      </c>
      <c r="C3" s="50">
        <v>1.2204999999999999</v>
      </c>
      <c r="D3" s="50">
        <v>1.2282999999999999</v>
      </c>
      <c r="E3" s="26">
        <f t="shared" ref="E3:E43" si="0">D3-C3</f>
        <v>7.8000000000000291E-3</v>
      </c>
      <c r="F3">
        <v>1</v>
      </c>
      <c r="H3" s="117">
        <f t="shared" ref="H3:H43" si="1">E3*1000</f>
        <v>7.8000000000000291</v>
      </c>
      <c r="I3" s="117">
        <f t="shared" ref="I3:I43" si="2">H3+60</f>
        <v>67.800000000000026</v>
      </c>
      <c r="J3">
        <f t="shared" ref="J3:J43" si="3">I3/H3</f>
        <v>8.6923076923076632</v>
      </c>
      <c r="K3">
        <f>J3*courbe_etalon!$F$6</f>
        <v>159.35897435897382</v>
      </c>
    </row>
    <row r="4" spans="1:11" x14ac:dyDescent="0.25">
      <c r="A4" s="25">
        <f t="shared" ref="A4:A25" si="4">A3+1</f>
        <v>3</v>
      </c>
      <c r="B4" s="25" t="str">
        <f>absorbances!B7</f>
        <v>NCHA100081_FA-1</v>
      </c>
      <c r="C4" s="50">
        <v>1.1948000000000001</v>
      </c>
      <c r="D4" s="50">
        <v>1.2021999999999999</v>
      </c>
      <c r="E4" s="26">
        <f t="shared" si="0"/>
        <v>7.3999999999998511E-3</v>
      </c>
      <c r="F4">
        <v>1</v>
      </c>
      <c r="H4" s="117">
        <f t="shared" si="1"/>
        <v>7.3999999999998511</v>
      </c>
      <c r="I4" s="117">
        <f t="shared" si="2"/>
        <v>67.399999999999849</v>
      </c>
      <c r="J4">
        <f t="shared" si="3"/>
        <v>9.1081081081082704</v>
      </c>
      <c r="K4">
        <f>J4*courbe_etalon!$F$6</f>
        <v>166.98198198198494</v>
      </c>
    </row>
    <row r="5" spans="1:11" x14ac:dyDescent="0.25">
      <c r="A5" s="25">
        <f t="shared" si="4"/>
        <v>4</v>
      </c>
      <c r="B5" s="25" t="str">
        <f>absorbances!B8</f>
        <v>NCHA100082_FA-1</v>
      </c>
      <c r="C5" s="50">
        <v>1.1909000000000001</v>
      </c>
      <c r="D5" s="50">
        <v>1.1944999999999999</v>
      </c>
      <c r="E5" s="26">
        <f t="shared" si="0"/>
        <v>3.5999999999998256E-3</v>
      </c>
      <c r="F5">
        <v>1</v>
      </c>
      <c r="H5" s="117">
        <f t="shared" si="1"/>
        <v>3.5999999999998256</v>
      </c>
      <c r="I5" s="117">
        <f t="shared" si="2"/>
        <v>63.599999999999824</v>
      </c>
      <c r="J5">
        <f t="shared" si="3"/>
        <v>17.666666666667474</v>
      </c>
      <c r="K5">
        <f>J5*courbe_etalon!$F$6</f>
        <v>323.88888888890369</v>
      </c>
    </row>
    <row r="6" spans="1:11" x14ac:dyDescent="0.25">
      <c r="A6" s="25">
        <f t="shared" si="4"/>
        <v>5</v>
      </c>
      <c r="B6" s="25" t="str">
        <f>absorbances!B9</f>
        <v>NCHA100085_FA-1</v>
      </c>
      <c r="C6" s="50">
        <v>1.1887000000000001</v>
      </c>
      <c r="D6" s="50">
        <v>1.1955</v>
      </c>
      <c r="E6" s="26">
        <f t="shared" si="0"/>
        <v>6.7999999999999172E-3</v>
      </c>
      <c r="F6">
        <v>1</v>
      </c>
      <c r="H6" s="117">
        <f t="shared" si="1"/>
        <v>6.7999999999999172</v>
      </c>
      <c r="I6" s="117">
        <f t="shared" si="2"/>
        <v>66.799999999999912</v>
      </c>
      <c r="J6">
        <f t="shared" si="3"/>
        <v>9.8235294117648131</v>
      </c>
      <c r="K6">
        <f>J6*courbe_etalon!$F$6</f>
        <v>180.09803921568823</v>
      </c>
    </row>
    <row r="7" spans="1:11" x14ac:dyDescent="0.25">
      <c r="A7" s="25">
        <f t="shared" si="4"/>
        <v>6</v>
      </c>
      <c r="B7" s="25" t="str">
        <f>absorbances!B10</f>
        <v>NCHA100086_FA-1</v>
      </c>
      <c r="C7" s="50">
        <v>1.2025999999999999</v>
      </c>
      <c r="D7" s="50">
        <v>1.2054</v>
      </c>
      <c r="E7" s="26">
        <f t="shared" si="0"/>
        <v>2.8000000000001357E-3</v>
      </c>
      <c r="F7">
        <v>1</v>
      </c>
      <c r="H7" s="117">
        <f t="shared" si="1"/>
        <v>2.8000000000001357</v>
      </c>
      <c r="I7" s="117">
        <f t="shared" si="2"/>
        <v>62.800000000000139</v>
      </c>
      <c r="J7">
        <f t="shared" si="3"/>
        <v>22.42857142857039</v>
      </c>
      <c r="K7">
        <f>J7*courbe_etalon!$F$6</f>
        <v>411.1904761904571</v>
      </c>
    </row>
    <row r="8" spans="1:11" x14ac:dyDescent="0.25">
      <c r="A8" s="25">
        <f t="shared" si="4"/>
        <v>7</v>
      </c>
      <c r="B8" s="25" t="str">
        <f>absorbances!B11</f>
        <v>NCHA100087_FA-1</v>
      </c>
      <c r="C8" s="50">
        <v>1.1943999999999999</v>
      </c>
      <c r="D8" s="50">
        <v>1.2050000000000001</v>
      </c>
      <c r="E8" s="26">
        <f t="shared" si="0"/>
        <v>1.0600000000000165E-2</v>
      </c>
      <c r="F8">
        <v>1</v>
      </c>
      <c r="H8" s="117">
        <f t="shared" si="1"/>
        <v>10.600000000000165</v>
      </c>
      <c r="I8" s="117">
        <f t="shared" si="2"/>
        <v>70.600000000000165</v>
      </c>
      <c r="J8">
        <f t="shared" si="3"/>
        <v>6.6603773584904777</v>
      </c>
      <c r="K8">
        <f>J8*courbe_etalon!$F$6</f>
        <v>122.10691823899208</v>
      </c>
    </row>
    <row r="9" spans="1:11" x14ac:dyDescent="0.25">
      <c r="A9" s="25">
        <f t="shared" si="4"/>
        <v>8</v>
      </c>
      <c r="B9" s="25" t="str">
        <f>absorbances!B12</f>
        <v>NCHA100088_FA-1</v>
      </c>
      <c r="C9" s="50">
        <v>1.1933</v>
      </c>
      <c r="D9" s="50">
        <v>1.2004999999999999</v>
      </c>
      <c r="E9" s="26">
        <f t="shared" si="0"/>
        <v>7.1999999999998732E-3</v>
      </c>
      <c r="F9">
        <v>1</v>
      </c>
      <c r="H9" s="117">
        <f t="shared" si="1"/>
        <v>7.1999999999998732</v>
      </c>
      <c r="I9" s="117">
        <f t="shared" si="2"/>
        <v>67.199999999999875</v>
      </c>
      <c r="J9">
        <f t="shared" si="3"/>
        <v>9.3333333333334796</v>
      </c>
      <c r="K9">
        <f>J9*courbe_etalon!$F$6</f>
        <v>171.11111111111379</v>
      </c>
    </row>
    <row r="10" spans="1:11" x14ac:dyDescent="0.25">
      <c r="A10" s="25">
        <f t="shared" si="4"/>
        <v>9</v>
      </c>
      <c r="B10" s="25" t="str">
        <f>absorbances!E5</f>
        <v>NCHA100090_FA-1</v>
      </c>
      <c r="C10" s="50">
        <v>1.1932</v>
      </c>
      <c r="D10" s="50">
        <v>1.2024999999999999</v>
      </c>
      <c r="E10" s="26">
        <f t="shared" si="0"/>
        <v>9.2999999999998639E-3</v>
      </c>
      <c r="F10">
        <v>1</v>
      </c>
      <c r="H10" s="117">
        <f t="shared" si="1"/>
        <v>9.2999999999998639</v>
      </c>
      <c r="I10" s="117">
        <f t="shared" si="2"/>
        <v>69.299999999999869</v>
      </c>
      <c r="J10">
        <f t="shared" si="3"/>
        <v>7.4516129032259011</v>
      </c>
      <c r="K10">
        <f>J10*courbe_etalon!$F$6</f>
        <v>136.61290322580817</v>
      </c>
    </row>
    <row r="11" spans="1:11" x14ac:dyDescent="0.25">
      <c r="A11" s="25">
        <f t="shared" si="4"/>
        <v>10</v>
      </c>
      <c r="B11" s="25" t="str">
        <f>absorbances!E6</f>
        <v>NCHA100091_FA-1</v>
      </c>
      <c r="C11" s="50">
        <v>1.2022999999999999</v>
      </c>
      <c r="D11" s="50">
        <v>1.2090000000000001</v>
      </c>
      <c r="E11" s="26">
        <f t="shared" si="0"/>
        <v>6.7000000000001503E-3</v>
      </c>
      <c r="F11">
        <v>1</v>
      </c>
      <c r="H11" s="117">
        <f t="shared" si="1"/>
        <v>6.7000000000001503</v>
      </c>
      <c r="I11" s="117">
        <f t="shared" si="2"/>
        <v>66.700000000000145</v>
      </c>
      <c r="J11">
        <f t="shared" si="3"/>
        <v>9.9552238805968134</v>
      </c>
      <c r="K11">
        <f>J11*courbe_etalon!$F$6</f>
        <v>182.51243781094158</v>
      </c>
    </row>
    <row r="12" spans="1:11" x14ac:dyDescent="0.25">
      <c r="A12" s="74">
        <f t="shared" si="4"/>
        <v>11</v>
      </c>
      <c r="B12" s="74" t="str">
        <f>absorbances!E7</f>
        <v>NCHA100093_FA-1</v>
      </c>
      <c r="C12" s="50">
        <v>1.2206999999999999</v>
      </c>
      <c r="D12" s="50">
        <v>1.2301</v>
      </c>
      <c r="E12" s="95">
        <f t="shared" si="0"/>
        <v>9.400000000000075E-3</v>
      </c>
      <c r="F12">
        <v>1</v>
      </c>
      <c r="H12" s="117">
        <f t="shared" si="1"/>
        <v>9.400000000000075</v>
      </c>
      <c r="I12" s="117">
        <f t="shared" si="2"/>
        <v>69.400000000000077</v>
      </c>
      <c r="J12">
        <f t="shared" si="3"/>
        <v>7.3829787234042046</v>
      </c>
      <c r="K12">
        <f>J12*courbe_etalon!$F$6</f>
        <v>135.35460992907707</v>
      </c>
    </row>
    <row r="13" spans="1:11" x14ac:dyDescent="0.25">
      <c r="A13" s="93">
        <f t="shared" si="4"/>
        <v>12</v>
      </c>
      <c r="B13" s="93" t="str">
        <f>absorbances!E8</f>
        <v>vide</v>
      </c>
      <c r="C13" s="94">
        <v>1.2204999999999999</v>
      </c>
      <c r="D13" s="94">
        <v>1.2202</v>
      </c>
      <c r="E13" s="118">
        <f t="shared" si="0"/>
        <v>-2.9999999999996696E-4</v>
      </c>
      <c r="F13" s="119">
        <v>1</v>
      </c>
      <c r="G13" s="119"/>
      <c r="H13" s="120">
        <f t="shared" si="1"/>
        <v>-0.29999999999996696</v>
      </c>
      <c r="I13" s="120">
        <f t="shared" ref="I13" si="5">F13*1000</f>
        <v>1000</v>
      </c>
      <c r="J13" s="120">
        <f t="shared" ref="J13" si="6">G13*1000</f>
        <v>0</v>
      </c>
      <c r="K13" s="120">
        <f t="shared" ref="K13" si="7">H13*1000</f>
        <v>-299.99999999996697</v>
      </c>
    </row>
    <row r="14" spans="1:11" x14ac:dyDescent="0.25">
      <c r="A14" s="25">
        <f t="shared" si="4"/>
        <v>13</v>
      </c>
      <c r="B14" s="25" t="str">
        <f>absorbances!E9</f>
        <v>NCHA100094_FA-1</v>
      </c>
      <c r="C14" s="50">
        <v>1.1909000000000001</v>
      </c>
      <c r="D14" s="50">
        <v>1.2047000000000001</v>
      </c>
      <c r="E14" s="26">
        <f t="shared" si="0"/>
        <v>1.3800000000000034E-2</v>
      </c>
      <c r="F14">
        <v>1</v>
      </c>
      <c r="H14" s="117">
        <f t="shared" si="1"/>
        <v>13.800000000000034</v>
      </c>
      <c r="I14" s="117">
        <f t="shared" si="2"/>
        <v>73.80000000000004</v>
      </c>
      <c r="J14">
        <f t="shared" si="3"/>
        <v>5.3478260869565108</v>
      </c>
      <c r="K14">
        <f>J14*courbe_etalon!$F$6</f>
        <v>98.043478260869364</v>
      </c>
    </row>
    <row r="15" spans="1:11" x14ac:dyDescent="0.25">
      <c r="A15" s="25">
        <f t="shared" si="4"/>
        <v>14</v>
      </c>
      <c r="B15" s="25" t="str">
        <f>absorbances!E10</f>
        <v>NCHA100095_FA-1</v>
      </c>
      <c r="C15" s="50">
        <v>1.1910000000000001</v>
      </c>
      <c r="D15" s="50">
        <v>1.2003999999999999</v>
      </c>
      <c r="E15" s="26">
        <f t="shared" si="0"/>
        <v>9.3999999999998529E-3</v>
      </c>
      <c r="F15">
        <v>1</v>
      </c>
      <c r="H15" s="117">
        <f t="shared" si="1"/>
        <v>9.3999999999998529</v>
      </c>
      <c r="I15" s="117">
        <f t="shared" si="2"/>
        <v>69.399999999999849</v>
      </c>
      <c r="J15">
        <f t="shared" si="3"/>
        <v>7.3829787234043547</v>
      </c>
      <c r="K15">
        <f>J15*courbe_etalon!$F$6</f>
        <v>135.35460992907983</v>
      </c>
    </row>
    <row r="16" spans="1:11" x14ac:dyDescent="0.25">
      <c r="A16" s="25">
        <f t="shared" si="4"/>
        <v>15</v>
      </c>
      <c r="B16" s="25" t="str">
        <f>absorbances!E11</f>
        <v>NCHA100096_FA-1</v>
      </c>
      <c r="C16" s="50">
        <v>1.1889000000000001</v>
      </c>
      <c r="D16" s="50">
        <v>1.2045999999999999</v>
      </c>
      <c r="E16" s="26">
        <f t="shared" si="0"/>
        <v>1.5699999999999825E-2</v>
      </c>
      <c r="F16">
        <v>1</v>
      </c>
      <c r="H16" s="117">
        <f t="shared" si="1"/>
        <v>15.699999999999825</v>
      </c>
      <c r="I16" s="117">
        <f t="shared" si="2"/>
        <v>75.699999999999818</v>
      </c>
      <c r="J16">
        <f t="shared" si="3"/>
        <v>4.8216560509554558</v>
      </c>
      <c r="K16">
        <f>J16*courbe_etalon!$F$6</f>
        <v>88.397027600850024</v>
      </c>
    </row>
    <row r="17" spans="1:11" x14ac:dyDescent="0.25">
      <c r="A17" s="25">
        <f t="shared" si="4"/>
        <v>16</v>
      </c>
      <c r="B17" s="25" t="str">
        <f>absorbances!E12</f>
        <v>NCHA100098_FA-1</v>
      </c>
      <c r="C17" s="50">
        <v>1.1934</v>
      </c>
      <c r="D17" s="50">
        <v>1.2056</v>
      </c>
      <c r="E17" s="26">
        <f t="shared" si="0"/>
        <v>1.2199999999999989E-2</v>
      </c>
      <c r="F17">
        <v>1</v>
      </c>
      <c r="H17" s="117">
        <f t="shared" si="1"/>
        <v>12.199999999999989</v>
      </c>
      <c r="I17" s="117">
        <f t="shared" si="2"/>
        <v>72.199999999999989</v>
      </c>
      <c r="J17">
        <f t="shared" si="3"/>
        <v>5.9180327868852505</v>
      </c>
      <c r="K17">
        <f>J17*courbe_etalon!$F$6</f>
        <v>108.49726775956292</v>
      </c>
    </row>
    <row r="18" spans="1:11" x14ac:dyDescent="0.25">
      <c r="A18" s="25">
        <f t="shared" si="4"/>
        <v>17</v>
      </c>
      <c r="B18" s="25" t="str">
        <f>absorbances!H5</f>
        <v>NCHA100099_FA-1</v>
      </c>
      <c r="C18" s="50">
        <v>1.1931</v>
      </c>
      <c r="D18" s="50">
        <v>1.1995</v>
      </c>
      <c r="E18" s="26">
        <f t="shared" si="0"/>
        <v>6.3999999999999613E-3</v>
      </c>
      <c r="F18">
        <v>1</v>
      </c>
      <c r="H18" s="117">
        <f t="shared" si="1"/>
        <v>6.3999999999999613</v>
      </c>
      <c r="I18" s="117">
        <f t="shared" si="2"/>
        <v>66.399999999999963</v>
      </c>
      <c r="J18">
        <f t="shared" si="3"/>
        <v>10.375000000000057</v>
      </c>
      <c r="K18">
        <f>J18*courbe_etalon!$F$6</f>
        <v>190.20833333333437</v>
      </c>
    </row>
    <row r="19" spans="1:11" x14ac:dyDescent="0.25">
      <c r="A19" s="51">
        <f t="shared" si="4"/>
        <v>18</v>
      </c>
      <c r="B19" s="51" t="str">
        <f>absorbances!H6</f>
        <v>NCHA100101_FA-1</v>
      </c>
      <c r="C19" s="52">
        <v>1.2051000000000001</v>
      </c>
      <c r="D19" s="52">
        <v>1.2128000000000001</v>
      </c>
      <c r="E19" s="53">
        <f t="shared" si="0"/>
        <v>7.7000000000000401E-3</v>
      </c>
      <c r="F19" s="54">
        <v>1</v>
      </c>
      <c r="G19" s="54"/>
      <c r="H19" s="121">
        <f t="shared" si="1"/>
        <v>7.7000000000000401</v>
      </c>
      <c r="I19" s="121">
        <f t="shared" ref="I19" si="8">F19*1000</f>
        <v>1000</v>
      </c>
      <c r="J19" s="121">
        <f t="shared" ref="J19" si="9">G19*1000</f>
        <v>0</v>
      </c>
      <c r="K19" s="121">
        <f t="shared" ref="K19" si="10">H19*1000</f>
        <v>7700.00000000004</v>
      </c>
    </row>
    <row r="20" spans="1:11" x14ac:dyDescent="0.25">
      <c r="A20" s="25">
        <f t="shared" si="4"/>
        <v>19</v>
      </c>
      <c r="B20" s="25" t="str">
        <f>absorbances!H7</f>
        <v>NCHA100102_FA-1</v>
      </c>
      <c r="C20" s="50">
        <v>1.1979</v>
      </c>
      <c r="D20" s="50">
        <v>1.2041999999999999</v>
      </c>
      <c r="E20" s="26">
        <f t="shared" si="0"/>
        <v>6.2999999999999723E-3</v>
      </c>
      <c r="F20">
        <v>1</v>
      </c>
      <c r="H20" s="117">
        <f t="shared" si="1"/>
        <v>6.2999999999999723</v>
      </c>
      <c r="I20" s="117">
        <f t="shared" si="2"/>
        <v>66.299999999999969</v>
      </c>
      <c r="J20">
        <f t="shared" si="3"/>
        <v>10.523809523809565</v>
      </c>
      <c r="K20">
        <f>J20*courbe_etalon!$F$6</f>
        <v>192.93650793650866</v>
      </c>
    </row>
    <row r="21" spans="1:11" x14ac:dyDescent="0.25">
      <c r="A21" s="25">
        <f t="shared" si="4"/>
        <v>20</v>
      </c>
      <c r="B21" s="25" t="str">
        <f>absorbances!H8</f>
        <v>NCHA100103_FA-1</v>
      </c>
      <c r="C21" s="50">
        <v>1.1908000000000001</v>
      </c>
      <c r="D21" s="50">
        <v>1.2007000000000001</v>
      </c>
      <c r="E21" s="26">
        <f t="shared" si="0"/>
        <v>9.9000000000000199E-3</v>
      </c>
      <c r="F21">
        <v>1</v>
      </c>
      <c r="H21" s="117">
        <f t="shared" si="1"/>
        <v>9.9000000000000199</v>
      </c>
      <c r="I21" s="117">
        <f t="shared" si="2"/>
        <v>69.90000000000002</v>
      </c>
      <c r="J21">
        <f t="shared" si="3"/>
        <v>7.0606060606060481</v>
      </c>
      <c r="K21">
        <f>J21*courbe_etalon!$F$6</f>
        <v>129.4444444444442</v>
      </c>
    </row>
    <row r="22" spans="1:11" x14ac:dyDescent="0.25">
      <c r="A22" s="25">
        <f t="shared" si="4"/>
        <v>21</v>
      </c>
      <c r="B22" s="25" t="str">
        <f>absorbances!H9</f>
        <v>NCHA100106_FA-1</v>
      </c>
      <c r="C22" s="50">
        <v>1.1903999999999999</v>
      </c>
      <c r="D22" s="50">
        <v>1.2010000000000001</v>
      </c>
      <c r="E22" s="26">
        <f t="shared" si="0"/>
        <v>1.0600000000000165E-2</v>
      </c>
      <c r="F22">
        <v>1</v>
      </c>
      <c r="H22" s="117">
        <f t="shared" si="1"/>
        <v>10.600000000000165</v>
      </c>
      <c r="I22" s="117">
        <f t="shared" si="2"/>
        <v>70.600000000000165</v>
      </c>
      <c r="J22">
        <f t="shared" si="3"/>
        <v>6.6603773584904777</v>
      </c>
      <c r="K22">
        <f>J22*courbe_etalon!$F$6</f>
        <v>122.10691823899208</v>
      </c>
    </row>
    <row r="23" spans="1:11" x14ac:dyDescent="0.25">
      <c r="A23" s="25">
        <f t="shared" si="4"/>
        <v>22</v>
      </c>
      <c r="B23" s="25" t="str">
        <f>absorbances!H10</f>
        <v>NCHA100107_FA-1</v>
      </c>
      <c r="C23" s="50">
        <v>1.1880999999999999</v>
      </c>
      <c r="D23" s="50">
        <v>1.1983999999999999</v>
      </c>
      <c r="E23" s="26">
        <f t="shared" si="0"/>
        <v>1.0299999999999976E-2</v>
      </c>
      <c r="F23">
        <v>1</v>
      </c>
      <c r="H23" s="117">
        <f t="shared" si="1"/>
        <v>10.299999999999976</v>
      </c>
      <c r="I23" s="117">
        <f t="shared" si="2"/>
        <v>70.299999999999983</v>
      </c>
      <c r="J23">
        <f t="shared" si="3"/>
        <v>6.8252427184466162</v>
      </c>
      <c r="K23">
        <f>J23*courbe_etalon!$F$6</f>
        <v>125.12944983818795</v>
      </c>
    </row>
    <row r="24" spans="1:11" x14ac:dyDescent="0.25">
      <c r="A24" s="25">
        <f t="shared" si="4"/>
        <v>23</v>
      </c>
      <c r="B24" s="25" t="str">
        <f>absorbances!H11</f>
        <v>NCHA100108_FA-1</v>
      </c>
      <c r="C24" s="50">
        <v>1.1932</v>
      </c>
      <c r="D24" s="50">
        <v>1.1974</v>
      </c>
      <c r="E24" s="26">
        <f t="shared" si="0"/>
        <v>4.1999999999999815E-3</v>
      </c>
      <c r="F24">
        <v>1</v>
      </c>
      <c r="H24" s="117">
        <f t="shared" si="1"/>
        <v>4.1999999999999815</v>
      </c>
      <c r="I24" s="117">
        <f t="shared" si="2"/>
        <v>64.199999999999989</v>
      </c>
      <c r="J24">
        <f t="shared" si="3"/>
        <v>15.28571428571435</v>
      </c>
      <c r="K24">
        <f>J24*courbe_etalon!$F$6</f>
        <v>280.23809523809643</v>
      </c>
    </row>
    <row r="25" spans="1:11" x14ac:dyDescent="0.25">
      <c r="A25" s="76">
        <f t="shared" si="4"/>
        <v>24</v>
      </c>
      <c r="B25" s="76" t="str">
        <f>absorbances!H12</f>
        <v>NCHA100109_FA-1</v>
      </c>
      <c r="C25" s="77">
        <v>1.1907000000000001</v>
      </c>
      <c r="D25" s="77">
        <v>1.1960999999999999</v>
      </c>
      <c r="E25" s="78">
        <f t="shared" si="0"/>
        <v>5.3999999999998494E-3</v>
      </c>
      <c r="F25" s="79">
        <v>1</v>
      </c>
      <c r="H25" s="117">
        <f t="shared" si="1"/>
        <v>5.3999999999998494</v>
      </c>
      <c r="I25" s="117">
        <f t="shared" si="2"/>
        <v>65.399999999999849</v>
      </c>
      <c r="J25">
        <f t="shared" si="3"/>
        <v>12.111111111111422</v>
      </c>
      <c r="K25">
        <f>J25*courbe_etalon!$F$6</f>
        <v>222.03703703704272</v>
      </c>
    </row>
    <row r="26" spans="1:11" x14ac:dyDescent="0.25">
      <c r="A26" s="25">
        <v>1</v>
      </c>
      <c r="B26" s="75" t="str">
        <f>absorbances!P5</f>
        <v>NCHA100315_FA-1</v>
      </c>
      <c r="C26" s="81">
        <v>1.1902999999999999</v>
      </c>
      <c r="D26" s="81">
        <v>1.2044999999999999</v>
      </c>
      <c r="E26" s="80">
        <f t="shared" si="0"/>
        <v>1.419999999999999E-2</v>
      </c>
      <c r="F26">
        <v>10</v>
      </c>
      <c r="H26" s="117">
        <f t="shared" si="1"/>
        <v>14.19999999999999</v>
      </c>
      <c r="I26" s="117">
        <f t="shared" si="2"/>
        <v>74.199999999999989</v>
      </c>
      <c r="J26">
        <f t="shared" si="3"/>
        <v>5.2253521126760587</v>
      </c>
      <c r="K26">
        <f>J26*courbe_etalon!$F$6</f>
        <v>95.798122065727739</v>
      </c>
    </row>
    <row r="27" spans="1:11" x14ac:dyDescent="0.25">
      <c r="A27" s="25">
        <f>A26+1</f>
        <v>2</v>
      </c>
      <c r="B27" s="75" t="str">
        <f>absorbances!P6</f>
        <v>NCHA100316_FA-1</v>
      </c>
      <c r="C27" s="81">
        <v>1.1919</v>
      </c>
      <c r="D27" s="81">
        <v>1.2071000000000001</v>
      </c>
      <c r="E27" s="80">
        <f t="shared" si="0"/>
        <v>1.5200000000000102E-2</v>
      </c>
      <c r="F27">
        <v>10</v>
      </c>
      <c r="H27" s="117">
        <f t="shared" si="1"/>
        <v>15.200000000000102</v>
      </c>
      <c r="I27" s="117">
        <f t="shared" si="2"/>
        <v>75.200000000000102</v>
      </c>
      <c r="J27">
        <f t="shared" si="3"/>
        <v>4.9473684210526052</v>
      </c>
      <c r="K27">
        <f>J27*courbe_etalon!$F$6</f>
        <v>90.701754385964421</v>
      </c>
    </row>
    <row r="28" spans="1:11" x14ac:dyDescent="0.25">
      <c r="A28" s="25">
        <f t="shared" ref="A28:A43" si="11">A27+1</f>
        <v>3</v>
      </c>
      <c r="B28" s="75" t="str">
        <f>absorbances!P7</f>
        <v>NCHA100317_FA-1</v>
      </c>
      <c r="C28" s="81">
        <v>1.1966000000000001</v>
      </c>
      <c r="D28" s="81">
        <v>1.2097</v>
      </c>
      <c r="E28" s="80">
        <f t="shared" si="0"/>
        <v>1.309999999999989E-2</v>
      </c>
      <c r="F28">
        <v>10</v>
      </c>
      <c r="H28" s="117">
        <f t="shared" si="1"/>
        <v>13.09999999999989</v>
      </c>
      <c r="I28" s="117">
        <f t="shared" si="2"/>
        <v>73.099999999999895</v>
      </c>
      <c r="J28">
        <f t="shared" si="3"/>
        <v>5.5801526717557639</v>
      </c>
      <c r="K28">
        <f>J28*courbe_etalon!$F$6</f>
        <v>102.302798982189</v>
      </c>
    </row>
    <row r="29" spans="1:11" x14ac:dyDescent="0.25">
      <c r="A29" s="25">
        <f t="shared" si="11"/>
        <v>4</v>
      </c>
      <c r="B29" s="75" t="str">
        <f>absorbances!P8</f>
        <v>NCHA100318_FA-1</v>
      </c>
      <c r="C29" s="81">
        <v>1.1879999999999999</v>
      </c>
      <c r="D29" s="81">
        <v>1.2002999999999999</v>
      </c>
      <c r="E29" s="80">
        <f t="shared" si="0"/>
        <v>1.2299999999999978E-2</v>
      </c>
      <c r="F29">
        <v>10</v>
      </c>
      <c r="H29" s="117">
        <f t="shared" si="1"/>
        <v>12.299999999999978</v>
      </c>
      <c r="I29" s="117">
        <f t="shared" si="2"/>
        <v>72.299999999999983</v>
      </c>
      <c r="J29">
        <f t="shared" si="3"/>
        <v>5.8780487804878145</v>
      </c>
      <c r="K29">
        <f>J29*courbe_etalon!$F$6</f>
        <v>107.76422764227659</v>
      </c>
    </row>
    <row r="30" spans="1:11" x14ac:dyDescent="0.25">
      <c r="A30" s="25">
        <f t="shared" si="11"/>
        <v>5</v>
      </c>
      <c r="B30" s="75" t="str">
        <f>absorbances!P9</f>
        <v>NCHA100319_FA-1</v>
      </c>
      <c r="C30" s="81">
        <v>1.1899</v>
      </c>
      <c r="D30" s="81">
        <v>1.2073</v>
      </c>
      <c r="E30" s="80">
        <f t="shared" si="0"/>
        <v>1.7400000000000082E-2</v>
      </c>
      <c r="F30">
        <v>10</v>
      </c>
      <c r="H30" s="117">
        <f t="shared" si="1"/>
        <v>17.400000000000084</v>
      </c>
      <c r="I30" s="117">
        <f t="shared" si="2"/>
        <v>77.400000000000091</v>
      </c>
      <c r="J30">
        <f t="shared" si="3"/>
        <v>4.4482758620689493</v>
      </c>
      <c r="K30">
        <f>J30*courbe_etalon!$F$6</f>
        <v>81.551724137930734</v>
      </c>
    </row>
    <row r="31" spans="1:11" x14ac:dyDescent="0.25">
      <c r="A31" s="25">
        <f t="shared" si="11"/>
        <v>6</v>
      </c>
      <c r="B31" s="75" t="str">
        <f>absorbances!P10</f>
        <v>NCHA100320_FA-1</v>
      </c>
      <c r="C31" s="81">
        <v>1.1883999999999999</v>
      </c>
      <c r="D31" s="81">
        <v>1.2017</v>
      </c>
      <c r="E31" s="80">
        <f t="shared" si="0"/>
        <v>1.330000000000009E-2</v>
      </c>
      <c r="F31">
        <v>10</v>
      </c>
      <c r="H31" s="117">
        <f t="shared" si="1"/>
        <v>13.30000000000009</v>
      </c>
      <c r="I31" s="117">
        <f t="shared" si="2"/>
        <v>73.300000000000097</v>
      </c>
      <c r="J31">
        <f t="shared" si="3"/>
        <v>5.5112781954886918</v>
      </c>
      <c r="K31">
        <f>J31*courbe_etalon!$F$6</f>
        <v>101.04010025062601</v>
      </c>
    </row>
    <row r="32" spans="1:11" x14ac:dyDescent="0.25">
      <c r="A32" s="25">
        <f t="shared" si="11"/>
        <v>7</v>
      </c>
      <c r="B32" s="75" t="str">
        <f>absorbances!P11</f>
        <v>NCHA100321_FA-1</v>
      </c>
      <c r="C32" s="81">
        <v>1.2035</v>
      </c>
      <c r="D32" s="81">
        <v>1.2115</v>
      </c>
      <c r="E32" s="80">
        <f t="shared" si="0"/>
        <v>8.0000000000000071E-3</v>
      </c>
      <c r="F32">
        <v>10</v>
      </c>
      <c r="H32" s="117">
        <f t="shared" si="1"/>
        <v>8.0000000000000071</v>
      </c>
      <c r="I32" s="117">
        <f t="shared" si="2"/>
        <v>68</v>
      </c>
      <c r="J32">
        <f t="shared" si="3"/>
        <v>8.4999999999999929</v>
      </c>
      <c r="K32">
        <f>J32*courbe_etalon!$F$6</f>
        <v>155.8333333333332</v>
      </c>
    </row>
    <row r="33" spans="1:11" x14ac:dyDescent="0.25">
      <c r="A33" s="25">
        <f t="shared" si="11"/>
        <v>8</v>
      </c>
      <c r="B33" s="75" t="str">
        <f>absorbances!P12</f>
        <v>NCHA100322_FA-1</v>
      </c>
      <c r="C33" s="81">
        <v>1.1895</v>
      </c>
      <c r="D33" s="81">
        <v>1.2035</v>
      </c>
      <c r="E33" s="80">
        <f t="shared" si="0"/>
        <v>1.4000000000000012E-2</v>
      </c>
      <c r="F33">
        <v>10</v>
      </c>
      <c r="H33" s="117">
        <f t="shared" si="1"/>
        <v>14.000000000000012</v>
      </c>
      <c r="I33" s="117">
        <f t="shared" si="2"/>
        <v>74.000000000000014</v>
      </c>
      <c r="J33">
        <f t="shared" si="3"/>
        <v>5.285714285714282</v>
      </c>
      <c r="K33">
        <f>J33*courbe_etalon!$F$6</f>
        <v>96.904761904761827</v>
      </c>
    </row>
    <row r="34" spans="1:11" x14ac:dyDescent="0.25">
      <c r="A34" s="25">
        <f t="shared" si="11"/>
        <v>9</v>
      </c>
      <c r="B34" s="75" t="str">
        <f>absorbances!S5</f>
        <v>NCHA100323_FA-1</v>
      </c>
      <c r="C34" s="81">
        <v>1.1879</v>
      </c>
      <c r="D34" s="81">
        <v>1.1936</v>
      </c>
      <c r="E34" s="80">
        <f t="shared" si="0"/>
        <v>5.7000000000000384E-3</v>
      </c>
      <c r="F34">
        <v>10</v>
      </c>
      <c r="H34" s="117">
        <f t="shared" si="1"/>
        <v>5.7000000000000384</v>
      </c>
      <c r="I34" s="117">
        <f t="shared" si="2"/>
        <v>65.700000000000045</v>
      </c>
      <c r="J34">
        <f t="shared" si="3"/>
        <v>11.526315789473614</v>
      </c>
      <c r="K34">
        <f>J34*courbe_etalon!$F$6</f>
        <v>211.31578947368291</v>
      </c>
    </row>
    <row r="35" spans="1:11" x14ac:dyDescent="0.25">
      <c r="A35" s="74">
        <f t="shared" si="11"/>
        <v>10</v>
      </c>
      <c r="B35" s="75" t="str">
        <f>absorbances!S6</f>
        <v>NCHA100324_FA-1</v>
      </c>
      <c r="C35" s="81">
        <v>1.1972</v>
      </c>
      <c r="D35" s="81">
        <v>1.2067000000000001</v>
      </c>
      <c r="E35" s="80">
        <f t="shared" si="0"/>
        <v>9.5000000000000639E-3</v>
      </c>
      <c r="F35">
        <v>10</v>
      </c>
      <c r="H35" s="117">
        <f t="shared" si="1"/>
        <v>9.5000000000000639</v>
      </c>
      <c r="I35" s="117">
        <f t="shared" si="2"/>
        <v>69.500000000000057</v>
      </c>
      <c r="J35">
        <f t="shared" si="3"/>
        <v>7.3157894736841671</v>
      </c>
      <c r="K35">
        <f>J35*courbe_etalon!$F$6</f>
        <v>134.12280701754307</v>
      </c>
    </row>
    <row r="36" spans="1:11" x14ac:dyDescent="0.25">
      <c r="A36" s="74">
        <f t="shared" si="11"/>
        <v>11</v>
      </c>
      <c r="B36" s="75" t="str">
        <f>absorbances!S7</f>
        <v>NCHA100325_FA-1</v>
      </c>
      <c r="C36" s="81">
        <v>1.2042999999999999</v>
      </c>
      <c r="D36" s="81">
        <v>1.2156</v>
      </c>
      <c r="E36" s="80">
        <f t="shared" si="0"/>
        <v>1.1300000000000088E-2</v>
      </c>
      <c r="F36">
        <v>10</v>
      </c>
      <c r="H36" s="117">
        <f t="shared" si="1"/>
        <v>11.300000000000088</v>
      </c>
      <c r="I36" s="117">
        <f t="shared" si="2"/>
        <v>71.300000000000082</v>
      </c>
      <c r="J36">
        <f t="shared" si="3"/>
        <v>6.3097345132742948</v>
      </c>
      <c r="K36">
        <f>J36*courbe_etalon!$F$6</f>
        <v>115.6784660766954</v>
      </c>
    </row>
    <row r="37" spans="1:11" x14ac:dyDescent="0.25">
      <c r="A37" s="74">
        <f t="shared" si="11"/>
        <v>12</v>
      </c>
      <c r="B37" s="75" t="str">
        <f>absorbances!S8</f>
        <v>NCHA100326_FA-1</v>
      </c>
      <c r="C37" s="81">
        <v>1.2201</v>
      </c>
      <c r="D37" s="81">
        <v>1.236</v>
      </c>
      <c r="E37" s="80">
        <f t="shared" si="0"/>
        <v>1.5900000000000025E-2</v>
      </c>
      <c r="F37">
        <v>10</v>
      </c>
      <c r="H37" s="117">
        <f t="shared" si="1"/>
        <v>15.900000000000025</v>
      </c>
      <c r="I37" s="117">
        <f t="shared" si="2"/>
        <v>75.90000000000002</v>
      </c>
      <c r="J37">
        <f t="shared" si="3"/>
        <v>4.7735849056603712</v>
      </c>
      <c r="K37">
        <f>J37*courbe_etalon!$F$6</f>
        <v>87.515723270440134</v>
      </c>
    </row>
    <row r="38" spans="1:11" x14ac:dyDescent="0.25">
      <c r="A38" s="74">
        <f t="shared" si="11"/>
        <v>13</v>
      </c>
      <c r="B38" s="75" t="str">
        <f>absorbances!S9</f>
        <v>NCHA100327_FA-1</v>
      </c>
      <c r="C38" s="81">
        <v>1.1977</v>
      </c>
      <c r="D38" s="81">
        <v>1.2102999999999999</v>
      </c>
      <c r="E38" s="80">
        <f t="shared" si="0"/>
        <v>1.2599999999999945E-2</v>
      </c>
      <c r="F38">
        <v>10</v>
      </c>
      <c r="H38" s="117">
        <f t="shared" si="1"/>
        <v>12.599999999999945</v>
      </c>
      <c r="I38" s="117">
        <f t="shared" si="2"/>
        <v>72.599999999999937</v>
      </c>
      <c r="J38">
        <f t="shared" si="3"/>
        <v>5.7619047619047823</v>
      </c>
      <c r="K38">
        <f>J38*courbe_etalon!$F$6</f>
        <v>105.634920634921</v>
      </c>
    </row>
    <row r="39" spans="1:11" x14ac:dyDescent="0.25">
      <c r="A39" s="74">
        <f t="shared" si="11"/>
        <v>14</v>
      </c>
      <c r="B39" s="75" t="str">
        <f>absorbances!S10</f>
        <v>NCHA100328_FA-1</v>
      </c>
      <c r="C39" s="81">
        <v>1.2020999999999999</v>
      </c>
      <c r="D39" s="81">
        <v>1.2097</v>
      </c>
      <c r="E39" s="80">
        <f t="shared" si="0"/>
        <v>7.6000000000000512E-3</v>
      </c>
      <c r="F39">
        <v>10</v>
      </c>
      <c r="H39" s="117">
        <f t="shared" si="1"/>
        <v>7.6000000000000512</v>
      </c>
      <c r="I39" s="117">
        <f t="shared" si="2"/>
        <v>67.600000000000051</v>
      </c>
      <c r="J39">
        <f t="shared" si="3"/>
        <v>8.8947368421052104</v>
      </c>
      <c r="K39">
        <f>J39*courbe_etalon!$F$6</f>
        <v>163.07017543859553</v>
      </c>
    </row>
    <row r="40" spans="1:11" x14ac:dyDescent="0.25">
      <c r="A40" s="74">
        <f t="shared" si="11"/>
        <v>15</v>
      </c>
      <c r="B40" s="75" t="str">
        <f>absorbances!S11</f>
        <v>NCHA100329_FA-1</v>
      </c>
      <c r="C40" s="81">
        <v>1.1924999999999999</v>
      </c>
      <c r="D40" s="81">
        <v>1.2125999999999999</v>
      </c>
      <c r="E40" s="80">
        <f t="shared" si="0"/>
        <v>2.0100000000000007E-2</v>
      </c>
      <c r="F40">
        <v>10</v>
      </c>
      <c r="H40" s="117">
        <f t="shared" si="1"/>
        <v>20.100000000000009</v>
      </c>
      <c r="I40" s="117">
        <f t="shared" si="2"/>
        <v>80.100000000000009</v>
      </c>
      <c r="J40">
        <f t="shared" si="3"/>
        <v>3.9850746268656705</v>
      </c>
      <c r="K40">
        <f>J40*courbe_etalon!$F$6</f>
        <v>73.059701492537286</v>
      </c>
    </row>
    <row r="41" spans="1:11" x14ac:dyDescent="0.25">
      <c r="A41" s="74">
        <f t="shared" si="11"/>
        <v>16</v>
      </c>
      <c r="B41" s="75" t="str">
        <f>absorbances!S12</f>
        <v>NCHA100330_FA-1</v>
      </c>
      <c r="C41" s="81">
        <v>1.202</v>
      </c>
      <c r="D41" s="81">
        <v>1.2183999999999999</v>
      </c>
      <c r="E41" s="80">
        <f t="shared" si="0"/>
        <v>1.639999999999997E-2</v>
      </c>
      <c r="F41">
        <v>10</v>
      </c>
      <c r="H41" s="117">
        <f t="shared" si="1"/>
        <v>16.39999999999997</v>
      </c>
      <c r="I41" s="117">
        <f t="shared" si="2"/>
        <v>76.399999999999977</v>
      </c>
      <c r="J41">
        <f t="shared" si="3"/>
        <v>4.6585365853658605</v>
      </c>
      <c r="K41">
        <f>J41*courbe_etalon!$F$6</f>
        <v>85.406504065040764</v>
      </c>
    </row>
    <row r="42" spans="1:11" x14ac:dyDescent="0.25">
      <c r="A42" s="74">
        <f t="shared" si="11"/>
        <v>17</v>
      </c>
      <c r="B42" s="75" t="str">
        <f>absorbances!V5</f>
        <v>NCHA100331_FA-1</v>
      </c>
      <c r="C42" s="81">
        <v>1.2034</v>
      </c>
      <c r="D42" s="81">
        <v>1.2113</v>
      </c>
      <c r="E42" s="80">
        <f t="shared" si="0"/>
        <v>7.9000000000000181E-3</v>
      </c>
      <c r="F42">
        <v>10</v>
      </c>
      <c r="H42" s="117">
        <f t="shared" si="1"/>
        <v>7.9000000000000181</v>
      </c>
      <c r="I42" s="117">
        <f t="shared" si="2"/>
        <v>67.90000000000002</v>
      </c>
      <c r="J42">
        <f t="shared" si="3"/>
        <v>8.5949367088607431</v>
      </c>
      <c r="K42">
        <f>J42*courbe_etalon!$F$6</f>
        <v>157.57383966244694</v>
      </c>
    </row>
    <row r="43" spans="1:11" x14ac:dyDescent="0.25">
      <c r="A43" s="83">
        <f t="shared" si="11"/>
        <v>18</v>
      </c>
      <c r="B43" s="76" t="str">
        <f>absorbances!V6</f>
        <v>NCHA100092_FA-1</v>
      </c>
      <c r="C43" s="84">
        <v>1.1882999999999999</v>
      </c>
      <c r="D43" s="84">
        <v>1.2070000000000001</v>
      </c>
      <c r="E43" s="78">
        <f t="shared" si="0"/>
        <v>1.8700000000000161E-2</v>
      </c>
      <c r="F43" s="79">
        <v>10</v>
      </c>
      <c r="H43" s="117">
        <f t="shared" si="1"/>
        <v>18.700000000000159</v>
      </c>
      <c r="I43" s="117">
        <f t="shared" si="2"/>
        <v>78.700000000000159</v>
      </c>
      <c r="J43">
        <f t="shared" si="3"/>
        <v>4.2085561497325932</v>
      </c>
      <c r="K43">
        <f>J43*courbe_etalon!$F$6</f>
        <v>77.156862745097541</v>
      </c>
    </row>
    <row r="44" spans="1:11" x14ac:dyDescent="0.25">
      <c r="C44" s="82"/>
      <c r="D44" s="82"/>
      <c r="E44" s="8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85" zoomScaleNormal="85" workbookViewId="0">
      <pane ySplit="1" topLeftCell="A2" activePane="bottomLeft" state="frozen"/>
      <selection pane="bottomLeft" activeCell="F26" sqref="F26:F42"/>
    </sheetView>
  </sheetViews>
  <sheetFormatPr baseColWidth="10" defaultColWidth="16.7109375" defaultRowHeight="15" x14ac:dyDescent="0.25"/>
  <cols>
    <col min="6" max="6" width="25.28515625" customWidth="1"/>
  </cols>
  <sheetData>
    <row r="1" spans="1:12" x14ac:dyDescent="0.25">
      <c r="A1" s="27" t="s">
        <v>26</v>
      </c>
      <c r="B1" s="27" t="s">
        <v>12</v>
      </c>
      <c r="C1" s="27" t="s">
        <v>13</v>
      </c>
      <c r="D1" s="27"/>
      <c r="E1" s="27" t="s">
        <v>16</v>
      </c>
      <c r="F1" s="27" t="s">
        <v>18</v>
      </c>
      <c r="G1" s="27" t="s">
        <v>19</v>
      </c>
      <c r="H1" s="28"/>
      <c r="I1" s="27" t="s">
        <v>24</v>
      </c>
      <c r="J1" s="27" t="s">
        <v>25</v>
      </c>
      <c r="K1" s="27" t="s">
        <v>95</v>
      </c>
      <c r="L1" s="27" t="s">
        <v>75</v>
      </c>
    </row>
    <row r="2" spans="1:12" s="29" customFormat="1" x14ac:dyDescent="0.25">
      <c r="A2" s="29" t="str">
        <f>absorbances!B5</f>
        <v>NCHA100078_FA-1</v>
      </c>
      <c r="B2" s="29" t="str">
        <f>LEFT(A2,FIND("_",A2)-1)</f>
        <v>NCHA100078</v>
      </c>
      <c r="C2" s="29">
        <f>AVERAGE(absorbances!B52:D52)</f>
        <v>0.32</v>
      </c>
      <c r="E2" s="56">
        <f>courbe_etalon!$F$3*EXP((courbe_etalon!$G$3*quantification!C2))</f>
        <v>5.8211333829372949</v>
      </c>
      <c r="F2" s="29">
        <f>E2*poids!K2</f>
        <v>917.25833833667866</v>
      </c>
      <c r="G2" s="29">
        <f>F2/1000</f>
        <v>0.91725833833667869</v>
      </c>
      <c r="I2" s="29">
        <f>G2*15/1000</f>
        <v>1.3758875075050182E-2</v>
      </c>
      <c r="J2" s="29">
        <f>I2/poids!E2</f>
        <v>1.7416297563354621</v>
      </c>
      <c r="K2" s="29">
        <f>J2*1000</f>
        <v>1741.6297563354622</v>
      </c>
      <c r="L2" s="29">
        <v>1</v>
      </c>
    </row>
    <row r="3" spans="1:12" x14ac:dyDescent="0.25">
      <c r="A3" t="str">
        <f>absorbances!B6</f>
        <v>NCHA100079_FA-1</v>
      </c>
      <c r="B3" t="str">
        <f t="shared" ref="B3:B43" si="0">LEFT(A3,FIND("_",A3)-1)</f>
        <v>NCHA100079</v>
      </c>
      <c r="C3" s="29">
        <f>AVERAGE(absorbances!B53:D53)</f>
        <v>0.31633333333333336</v>
      </c>
      <c r="E3" s="18">
        <f>courbe_etalon!$F$3*EXP((courbe_etalon!$G$3*quantification!C3))</f>
        <v>5.5747454035965465</v>
      </c>
      <c r="F3" s="29">
        <f>E3*poids!K3</f>
        <v>888.38570982954923</v>
      </c>
      <c r="G3">
        <f t="shared" ref="G3:G43" si="1">F3/1000</f>
        <v>0.88838570982954923</v>
      </c>
      <c r="I3">
        <f t="shared" ref="I3:I5" si="2">G3*15/1000</f>
        <v>1.3325785647443238E-2</v>
      </c>
      <c r="J3">
        <f>I3/poids!E3</f>
        <v>1.7084340573645114</v>
      </c>
      <c r="K3" s="29">
        <f t="shared" ref="K3:K43" si="3">J3*1000</f>
        <v>1708.4340573645113</v>
      </c>
      <c r="L3">
        <v>1</v>
      </c>
    </row>
    <row r="4" spans="1:12" x14ac:dyDescent="0.25">
      <c r="A4" t="str">
        <f>absorbances!B7</f>
        <v>NCHA100081_FA-1</v>
      </c>
      <c r="B4" t="str">
        <f t="shared" si="0"/>
        <v>NCHA100081</v>
      </c>
      <c r="C4" s="29">
        <f>AVERAGE(absorbances!B54:D54)</f>
        <v>0.27866666666666667</v>
      </c>
      <c r="E4" s="18">
        <f>courbe_etalon!$F$3*EXP((courbe_etalon!$G$3*quantification!C4))</f>
        <v>3.5750112230428961</v>
      </c>
      <c r="F4" s="29">
        <f>E4*poids!K4</f>
        <v>596.96245963154286</v>
      </c>
      <c r="G4">
        <f t="shared" si="1"/>
        <v>0.59696245963154282</v>
      </c>
      <c r="I4">
        <f>G4*15/1000</f>
        <v>8.9544368944731428E-3</v>
      </c>
      <c r="J4">
        <f>I4/poids!E4</f>
        <v>1.2100590397936923</v>
      </c>
      <c r="K4" s="29">
        <f t="shared" si="3"/>
        <v>1210.0590397936924</v>
      </c>
      <c r="L4" s="29">
        <v>1</v>
      </c>
    </row>
    <row r="5" spans="1:12" x14ac:dyDescent="0.25">
      <c r="A5" t="str">
        <f>absorbances!B8</f>
        <v>NCHA100082_FA-1</v>
      </c>
      <c r="B5" t="str">
        <f t="shared" si="0"/>
        <v>NCHA100082</v>
      </c>
      <c r="C5" s="29">
        <f>AVERAGE(absorbances!B55:D55)</f>
        <v>0.27966666666666667</v>
      </c>
      <c r="E5" s="18">
        <f>courbe_etalon!$F$3*EXP((courbe_etalon!$G$3*quantification!C5))</f>
        <v>3.6174281424413368</v>
      </c>
      <c r="F5" s="29">
        <f>E5*poids!K5</f>
        <v>1171.6447816907755</v>
      </c>
      <c r="G5">
        <f t="shared" si="1"/>
        <v>1.1716447816907756</v>
      </c>
      <c r="I5">
        <f t="shared" si="2"/>
        <v>1.7574671725361632E-2</v>
      </c>
      <c r="J5">
        <f>I5/poids!E5</f>
        <v>4.8818532570451341</v>
      </c>
      <c r="K5" s="29">
        <f t="shared" si="3"/>
        <v>4881.8532570451343</v>
      </c>
      <c r="L5">
        <v>1</v>
      </c>
    </row>
    <row r="6" spans="1:12" x14ac:dyDescent="0.25">
      <c r="A6" t="str">
        <f>absorbances!B9</f>
        <v>NCHA100085_FA-1</v>
      </c>
      <c r="B6" t="str">
        <f t="shared" si="0"/>
        <v>NCHA100085</v>
      </c>
      <c r="C6" s="29">
        <f>AVERAGE(absorbances!B56:D56)</f>
        <v>0.28233333333333338</v>
      </c>
      <c r="E6" s="18">
        <f>courbe_etalon!$F$3*EXP((courbe_etalon!$G$3*quantification!C6))</f>
        <v>3.7330166076112716</v>
      </c>
      <c r="F6" s="29">
        <f>E6*poids!K6</f>
        <v>672.3089713903903</v>
      </c>
      <c r="G6">
        <f t="shared" si="1"/>
        <v>0.67230897139039025</v>
      </c>
      <c r="I6">
        <f>G6*15/1000</f>
        <v>1.0084634570855854E-2</v>
      </c>
      <c r="J6">
        <f>I6/poids!E6</f>
        <v>1.4830344957141142</v>
      </c>
      <c r="K6" s="29">
        <f t="shared" si="3"/>
        <v>1483.0344957141142</v>
      </c>
      <c r="L6" s="29">
        <v>1</v>
      </c>
    </row>
    <row r="7" spans="1:12" x14ac:dyDescent="0.25">
      <c r="A7" t="str">
        <f>absorbances!B10</f>
        <v>NCHA100086_FA-1</v>
      </c>
      <c r="B7" t="str">
        <f t="shared" si="0"/>
        <v>NCHA100086</v>
      </c>
      <c r="C7" s="29">
        <f>AVERAGE(absorbances!B57:D57)</f>
        <v>0.23666666666666669</v>
      </c>
      <c r="E7" s="18">
        <f>courbe_etalon!$F$3*EXP((courbe_etalon!$G$3*quantification!C7))</f>
        <v>2.17837310362752</v>
      </c>
      <c r="F7" s="29">
        <f>E7*poids!K7</f>
        <v>895.72627380108395</v>
      </c>
      <c r="G7">
        <f t="shared" si="1"/>
        <v>0.89572627380108394</v>
      </c>
      <c r="I7">
        <f t="shared" ref="I7:I43" si="4">G7*15/1000</f>
        <v>1.3435894107016259E-2</v>
      </c>
      <c r="J7">
        <f>I7/poids!E7</f>
        <v>4.7985336096484312</v>
      </c>
      <c r="K7" s="29">
        <f t="shared" si="3"/>
        <v>4798.5336096484316</v>
      </c>
      <c r="L7">
        <v>1</v>
      </c>
    </row>
    <row r="8" spans="1:12" x14ac:dyDescent="0.25">
      <c r="A8" t="str">
        <f>absorbances!B11</f>
        <v>NCHA100087_FA-1</v>
      </c>
      <c r="B8" t="str">
        <f t="shared" si="0"/>
        <v>NCHA100087</v>
      </c>
      <c r="C8" s="29">
        <f>AVERAGE(absorbances!B58:D58)</f>
        <v>0.28699999999999998</v>
      </c>
      <c r="E8" s="18">
        <f>courbe_etalon!$F$3*EXP((courbe_etalon!$G$3*quantification!C8))</f>
        <v>3.9442545751945328</v>
      </c>
      <c r="F8" s="29">
        <f>E8*poids!K8</f>
        <v>481.62077092704925</v>
      </c>
      <c r="G8">
        <f t="shared" si="1"/>
        <v>0.48162077092704925</v>
      </c>
      <c r="I8">
        <f t="shared" si="4"/>
        <v>7.2243115639057378E-3</v>
      </c>
      <c r="J8">
        <f>I8/poids!E8</f>
        <v>0.6815388267835496</v>
      </c>
      <c r="K8" s="29">
        <f t="shared" si="3"/>
        <v>681.53882678354955</v>
      </c>
      <c r="L8" s="29">
        <v>1</v>
      </c>
    </row>
    <row r="9" spans="1:12" x14ac:dyDescent="0.25">
      <c r="A9" t="str">
        <f>absorbances!B12</f>
        <v>NCHA100088_FA-1</v>
      </c>
      <c r="B9" t="str">
        <f t="shared" si="0"/>
        <v>NCHA100088</v>
      </c>
      <c r="C9" s="29">
        <f>AVERAGE(absorbances!B59:D59)</f>
        <v>0.27300000000000002</v>
      </c>
      <c r="E9" s="18">
        <f>courbe_etalon!$F$3*EXP((courbe_etalon!$G$3*quantification!C9))</f>
        <v>3.3438738897647746</v>
      </c>
      <c r="F9" s="29">
        <f>E9*poids!K9</f>
        <v>572.17397669309264</v>
      </c>
      <c r="G9">
        <f t="shared" si="1"/>
        <v>0.57217397669309267</v>
      </c>
      <c r="I9">
        <f t="shared" si="4"/>
        <v>8.582609650396391E-3</v>
      </c>
      <c r="J9">
        <f>I9/poids!E9</f>
        <v>1.1920291181106308</v>
      </c>
      <c r="K9" s="29">
        <f t="shared" si="3"/>
        <v>1192.0291181106309</v>
      </c>
      <c r="L9">
        <v>1</v>
      </c>
    </row>
    <row r="10" spans="1:12" s="29" customFormat="1" x14ac:dyDescent="0.25">
      <c r="A10" s="29" t="str">
        <f>absorbances!E5</f>
        <v>NCHA100090_FA-1</v>
      </c>
      <c r="B10" s="29" t="str">
        <f t="shared" si="0"/>
        <v>NCHA100090</v>
      </c>
      <c r="C10" s="29">
        <f>AVERAGE(absorbances!E52:G52)</f>
        <v>0.25566666666666671</v>
      </c>
      <c r="E10" s="56">
        <f>courbe_etalon!$F$3*EXP((courbe_etalon!$G$3*quantification!C10))</f>
        <v>2.7255856309175885</v>
      </c>
      <c r="F10" s="29">
        <f>E10*poids!K10</f>
        <v>372.35016603019784</v>
      </c>
      <c r="G10" s="29">
        <f t="shared" si="1"/>
        <v>0.37235016603019783</v>
      </c>
      <c r="I10" s="29">
        <f t="shared" si="4"/>
        <v>5.5852524904529679E-3</v>
      </c>
      <c r="J10" s="29">
        <f>I10/poids!E10</f>
        <v>0.60056478391968271</v>
      </c>
      <c r="K10" s="29">
        <f t="shared" si="3"/>
        <v>600.56478391968267</v>
      </c>
      <c r="L10" s="29">
        <v>1</v>
      </c>
    </row>
    <row r="11" spans="1:12" x14ac:dyDescent="0.25">
      <c r="A11" t="str">
        <f>absorbances!E6</f>
        <v>NCHA100091_FA-1</v>
      </c>
      <c r="B11" t="str">
        <f t="shared" si="0"/>
        <v>NCHA100091</v>
      </c>
      <c r="C11" s="29">
        <f>AVERAGE(absorbances!E53:G53)</f>
        <v>0.27599999999999997</v>
      </c>
      <c r="E11" s="18">
        <f>courbe_etalon!$F$3*EXP((courbe_etalon!$G$3*quantification!C11))</f>
        <v>3.4643152086200613</v>
      </c>
      <c r="F11" s="29">
        <f>E11*poids!K11</f>
        <v>632.28061407076802</v>
      </c>
      <c r="G11">
        <f t="shared" si="1"/>
        <v>0.63228061407076808</v>
      </c>
      <c r="I11">
        <f t="shared" si="4"/>
        <v>9.4842092110615211E-3</v>
      </c>
      <c r="J11">
        <f>I11/poids!E11</f>
        <v>1.4155536135912401</v>
      </c>
      <c r="K11" s="29">
        <f t="shared" si="3"/>
        <v>1415.55361359124</v>
      </c>
      <c r="L11">
        <v>1</v>
      </c>
    </row>
    <row r="12" spans="1:12" x14ac:dyDescent="0.25">
      <c r="A12" s="29" t="str">
        <f>absorbances!E7</f>
        <v>NCHA100093_FA-1</v>
      </c>
      <c r="B12" s="29" t="str">
        <f t="shared" si="0"/>
        <v>NCHA100093</v>
      </c>
      <c r="C12" s="29">
        <f>AVERAGE(absorbances!E54:G54)</f>
        <v>0.20600000000000004</v>
      </c>
      <c r="D12" s="29"/>
      <c r="E12" s="56">
        <f>courbe_etalon!$F$3*EXP((courbe_etalon!$G$3*quantification!C12))</f>
        <v>1.5171976502956726</v>
      </c>
      <c r="F12" s="29">
        <f>E12*poids!K12</f>
        <v>205.35969614108305</v>
      </c>
      <c r="G12" s="29">
        <f t="shared" si="1"/>
        <v>0.20535969614108304</v>
      </c>
      <c r="H12" s="29"/>
      <c r="I12" s="29">
        <f t="shared" si="4"/>
        <v>3.0803954421162456E-3</v>
      </c>
      <c r="J12" s="29">
        <f>I12/poids!E12</f>
        <v>0.32770164277832137</v>
      </c>
      <c r="K12" s="29">
        <f t="shared" si="3"/>
        <v>327.70164277832134</v>
      </c>
      <c r="L12" s="29">
        <v>1</v>
      </c>
    </row>
    <row r="13" spans="1:12" s="29" customFormat="1" x14ac:dyDescent="0.25">
      <c r="A13" s="63" t="str">
        <f>absorbances!E8</f>
        <v>vide</v>
      </c>
      <c r="B13" s="63" t="s">
        <v>57</v>
      </c>
      <c r="C13" s="63">
        <f>AVERAGE(absorbances!E55:G55)</f>
        <v>-3.3333333333333365E-4</v>
      </c>
      <c r="D13" s="63"/>
      <c r="E13" s="64">
        <f>courbe_etalon!$F$3*EXP((courbe_etalon!$G$3*quantification!C13))</f>
        <v>0.13307576057597542</v>
      </c>
      <c r="F13" s="119">
        <f>E13*poids!K13</f>
        <v>-39.922728172788233</v>
      </c>
      <c r="G13" s="63">
        <f t="shared" si="1"/>
        <v>-3.9922728172788233E-2</v>
      </c>
      <c r="H13" s="63"/>
      <c r="I13" s="63">
        <f t="shared" si="4"/>
        <v>-5.9884092259182358E-4</v>
      </c>
      <c r="J13" s="63">
        <f>I13/poids!E13</f>
        <v>1.9961364086396318</v>
      </c>
      <c r="K13" s="63">
        <f t="shared" si="3"/>
        <v>1996.1364086396318</v>
      </c>
      <c r="L13" s="63">
        <v>1</v>
      </c>
    </row>
    <row r="14" spans="1:12" x14ac:dyDescent="0.25">
      <c r="A14" t="str">
        <f>absorbances!E9</f>
        <v>NCHA100094_FA-1</v>
      </c>
      <c r="B14" t="str">
        <f t="shared" si="0"/>
        <v>NCHA100094</v>
      </c>
      <c r="C14" s="29">
        <f>AVERAGE(absorbances!E56:G56)</f>
        <v>0.26</v>
      </c>
      <c r="E14" s="18">
        <f>courbe_etalon!$F$3*EXP((courbe_etalon!$G$3*quantification!C14))</f>
        <v>2.8685164568055943</v>
      </c>
      <c r="F14" s="29">
        <f>E14*poids!K14</f>
        <v>281.23933087376531</v>
      </c>
      <c r="G14">
        <f t="shared" si="1"/>
        <v>0.28123933087376529</v>
      </c>
      <c r="I14">
        <f t="shared" si="4"/>
        <v>4.21858996310648E-3</v>
      </c>
      <c r="J14">
        <f>I14/poids!E14</f>
        <v>0.30569492486278765</v>
      </c>
      <c r="K14" s="29">
        <f t="shared" si="3"/>
        <v>305.69492486278767</v>
      </c>
      <c r="L14" s="29">
        <v>1</v>
      </c>
    </row>
    <row r="15" spans="1:12" x14ac:dyDescent="0.25">
      <c r="A15" t="str">
        <f>absorbances!E10</f>
        <v>NCHA100095_FA-1</v>
      </c>
      <c r="B15" t="str">
        <f t="shared" si="0"/>
        <v>NCHA100095</v>
      </c>
      <c r="C15" s="29">
        <f>AVERAGE(absorbances!E57:G57)</f>
        <v>0.28733333333333338</v>
      </c>
      <c r="E15" s="18">
        <f>courbe_etalon!$F$3*EXP((courbe_etalon!$G$3*quantification!C15))</f>
        <v>3.9597925945735475</v>
      </c>
      <c r="F15" s="29">
        <f>E15*poids!K15</f>
        <v>535.97618203856143</v>
      </c>
      <c r="G15">
        <f t="shared" si="1"/>
        <v>0.53597618203856146</v>
      </c>
      <c r="I15">
        <f t="shared" si="4"/>
        <v>8.039642730578422E-3</v>
      </c>
      <c r="J15">
        <f>I15/poids!E15</f>
        <v>0.8552811415509094</v>
      </c>
      <c r="K15" s="29">
        <f t="shared" si="3"/>
        <v>855.28114155090941</v>
      </c>
      <c r="L15">
        <v>1</v>
      </c>
    </row>
    <row r="16" spans="1:12" x14ac:dyDescent="0.25">
      <c r="A16" t="str">
        <f>absorbances!E11</f>
        <v>NCHA100096_FA-1</v>
      </c>
      <c r="B16" t="str">
        <f t="shared" si="0"/>
        <v>NCHA100096</v>
      </c>
      <c r="C16" s="29">
        <f>AVERAGE(absorbances!E58:G58)</f>
        <v>0.22233333333333336</v>
      </c>
      <c r="E16" s="18">
        <f>courbe_etalon!$F$3*EXP((courbe_etalon!$G$3*quantification!C16))</f>
        <v>1.8395420389866142</v>
      </c>
      <c r="F16" s="29">
        <f>E16*poids!K16</f>
        <v>162.61004839322365</v>
      </c>
      <c r="G16">
        <f t="shared" si="1"/>
        <v>0.16261004839322366</v>
      </c>
      <c r="I16">
        <f t="shared" si="4"/>
        <v>2.4391507258983551E-3</v>
      </c>
      <c r="J16">
        <f>I16/poids!E16</f>
        <v>0.15535991884703071</v>
      </c>
      <c r="K16" s="29">
        <f t="shared" si="3"/>
        <v>155.35991884703071</v>
      </c>
      <c r="L16" s="29">
        <v>1</v>
      </c>
    </row>
    <row r="17" spans="1:12" x14ac:dyDescent="0.25">
      <c r="A17" t="str">
        <f>absorbances!E12</f>
        <v>NCHA100098_FA-1</v>
      </c>
      <c r="B17" t="str">
        <f t="shared" si="0"/>
        <v>NCHA100098</v>
      </c>
      <c r="C17" s="29">
        <f>AVERAGE(absorbances!E59:G59)</f>
        <v>0.32300000000000001</v>
      </c>
      <c r="E17" s="18">
        <f>courbe_etalon!$F$3*EXP((courbe_etalon!$G$3*quantification!C17))</f>
        <v>6.0308018707410751</v>
      </c>
      <c r="F17" s="29">
        <f>E17*poids!K17</f>
        <v>654.32552537466734</v>
      </c>
      <c r="G17">
        <f t="shared" si="1"/>
        <v>0.65432552537466737</v>
      </c>
      <c r="I17">
        <f t="shared" si="4"/>
        <v>9.8148828806200114E-3</v>
      </c>
      <c r="J17">
        <f>I17/poids!E17</f>
        <v>0.80449859677213287</v>
      </c>
      <c r="K17" s="29">
        <f t="shared" si="3"/>
        <v>804.49859677213283</v>
      </c>
      <c r="L17">
        <v>1</v>
      </c>
    </row>
    <row r="18" spans="1:12" s="29" customFormat="1" x14ac:dyDescent="0.25">
      <c r="A18" s="29" t="str">
        <f>absorbances!H5</f>
        <v>NCHA100099_FA-1</v>
      </c>
      <c r="B18" s="29" t="str">
        <f t="shared" si="0"/>
        <v>NCHA100099</v>
      </c>
      <c r="C18" s="29">
        <f>AVERAGE(absorbances!H52:J52)</f>
        <v>0.28233333333333333</v>
      </c>
      <c r="E18" s="56">
        <f>courbe_etalon!$F$3*EXP((courbe_etalon!$G$3*quantification!C18))</f>
        <v>3.7330166076112685</v>
      </c>
      <c r="F18" s="29">
        <f>E18*poids!K18</f>
        <v>710.05086723939723</v>
      </c>
      <c r="G18" s="29">
        <f t="shared" si="1"/>
        <v>0.71005086723939725</v>
      </c>
      <c r="I18" s="29">
        <f t="shared" si="4"/>
        <v>1.0650763008590958E-2</v>
      </c>
      <c r="J18" s="29">
        <f>I18/poids!E18</f>
        <v>1.6641817200923472</v>
      </c>
      <c r="K18" s="29">
        <f t="shared" si="3"/>
        <v>1664.1817200923472</v>
      </c>
      <c r="L18" s="29">
        <v>1</v>
      </c>
    </row>
    <row r="19" spans="1:12" x14ac:dyDescent="0.25">
      <c r="A19" s="54" t="str">
        <f>absorbances!H6</f>
        <v>NCHA100101_FA-1</v>
      </c>
      <c r="B19" s="54" t="str">
        <f t="shared" si="0"/>
        <v>NCHA100101</v>
      </c>
      <c r="C19" s="54">
        <f>AVERAGE(absorbances!H53:J53)</f>
        <v>6.6666666666666491E-4</v>
      </c>
      <c r="D19" s="54"/>
      <c r="E19" s="55">
        <f>courbe_etalon!$F$3*EXP((courbe_etalon!$G$3*quantification!C19))</f>
        <v>0.1346546825591721</v>
      </c>
      <c r="F19" s="54">
        <f>E19*poids!K19</f>
        <v>1036.8410557056304</v>
      </c>
      <c r="G19" s="54">
        <f t="shared" si="1"/>
        <v>1.0368410557056305</v>
      </c>
      <c r="H19" s="54"/>
      <c r="I19" s="54">
        <f t="shared" si="4"/>
        <v>1.5552615835584456E-2</v>
      </c>
      <c r="J19" s="54">
        <f>I19/poids!E19</f>
        <v>2.0198202383875814</v>
      </c>
      <c r="K19" s="54">
        <f t="shared" si="3"/>
        <v>2019.8202383875814</v>
      </c>
      <c r="L19" s="54">
        <v>1</v>
      </c>
    </row>
    <row r="20" spans="1:12" x14ac:dyDescent="0.25">
      <c r="A20" t="str">
        <f>absorbances!H7</f>
        <v>NCHA100102_FA-1</v>
      </c>
      <c r="B20" t="str">
        <f t="shared" si="0"/>
        <v>NCHA100102</v>
      </c>
      <c r="C20" s="29">
        <f>AVERAGE(absorbances!H54:J54)</f>
        <v>0.23733333333333331</v>
      </c>
      <c r="E20" s="18">
        <f>courbe_etalon!$F$3*EXP((courbe_etalon!$G$3*quantification!C20))</f>
        <v>2.1955699009311518</v>
      </c>
      <c r="F20" s="29">
        <f>E20*poids!K20</f>
        <v>423.60558961616272</v>
      </c>
      <c r="G20">
        <f t="shared" si="1"/>
        <v>0.42360558961616274</v>
      </c>
      <c r="I20">
        <f t="shared" si="4"/>
        <v>6.3540838442424415E-3</v>
      </c>
      <c r="J20">
        <f>I20/poids!E20</f>
        <v>1.0085847371813443</v>
      </c>
      <c r="K20" s="29">
        <f t="shared" si="3"/>
        <v>1008.5847371813443</v>
      </c>
      <c r="L20" s="29">
        <v>1</v>
      </c>
    </row>
    <row r="21" spans="1:12" x14ac:dyDescent="0.25">
      <c r="A21" t="str">
        <f>absorbances!H8</f>
        <v>NCHA100103_FA-1</v>
      </c>
      <c r="B21" t="str">
        <f t="shared" si="0"/>
        <v>NCHA100103</v>
      </c>
      <c r="C21" s="29">
        <f>AVERAGE(absorbances!H55:J55)</f>
        <v>0.218</v>
      </c>
      <c r="E21" s="18">
        <f>courbe_etalon!$F$3*EXP((courbe_etalon!$G$3*quantification!C21))</f>
        <v>1.7478823721005246</v>
      </c>
      <c r="F21" s="29">
        <f>E21*poids!K21</f>
        <v>226.25366261078969</v>
      </c>
      <c r="G21">
        <f t="shared" si="1"/>
        <v>0.22625366261078969</v>
      </c>
      <c r="I21">
        <f t="shared" si="4"/>
        <v>3.3938049391618453E-3</v>
      </c>
      <c r="J21">
        <f>I21/poids!E21</f>
        <v>0.34280857971331702</v>
      </c>
      <c r="K21" s="29">
        <f t="shared" si="3"/>
        <v>342.80857971331704</v>
      </c>
      <c r="L21">
        <v>1</v>
      </c>
    </row>
    <row r="22" spans="1:12" x14ac:dyDescent="0.25">
      <c r="A22" t="str">
        <f>absorbances!H9</f>
        <v>NCHA100106_FA-1</v>
      </c>
      <c r="B22" t="str">
        <f t="shared" si="0"/>
        <v>NCHA100106</v>
      </c>
      <c r="C22" s="29">
        <f>AVERAGE(absorbances!H56:J56)</f>
        <v>0.26100000000000001</v>
      </c>
      <c r="E22" s="18">
        <f>courbe_etalon!$F$3*EXP((courbe_etalon!$G$3*quantification!C22))</f>
        <v>2.902550932154139</v>
      </c>
      <c r="F22" s="29">
        <f>E22*poids!K22</f>
        <v>354.42154935705571</v>
      </c>
      <c r="G22">
        <f t="shared" si="1"/>
        <v>0.35442154935705572</v>
      </c>
      <c r="I22">
        <f t="shared" si="4"/>
        <v>5.3163232403558355E-3</v>
      </c>
      <c r="J22">
        <f>I22/poids!E22</f>
        <v>0.50153992833544836</v>
      </c>
      <c r="K22" s="29">
        <f t="shared" si="3"/>
        <v>501.53992833544834</v>
      </c>
      <c r="L22" s="29">
        <v>1</v>
      </c>
    </row>
    <row r="23" spans="1:12" x14ac:dyDescent="0.25">
      <c r="A23" t="str">
        <f>absorbances!H10</f>
        <v>NCHA100107_FA-1</v>
      </c>
      <c r="B23" t="str">
        <f t="shared" si="0"/>
        <v>NCHA100107</v>
      </c>
      <c r="C23" s="29">
        <f>AVERAGE(absorbances!H57:J57)</f>
        <v>0.28466666666666668</v>
      </c>
      <c r="E23" s="18">
        <f>courbe_etalon!$F$3*EXP((courbe_etalon!$G$3*quantification!C23))</f>
        <v>3.8371822779023579</v>
      </c>
      <c r="F23" s="29">
        <f>E23*poids!K23</f>
        <v>480.14450736276689</v>
      </c>
      <c r="G23">
        <f t="shared" si="1"/>
        <v>0.48014450736276687</v>
      </c>
      <c r="I23">
        <f t="shared" si="4"/>
        <v>7.2021676104415027E-3</v>
      </c>
      <c r="J23">
        <f>I23/poids!E23</f>
        <v>0.69923957382927371</v>
      </c>
      <c r="K23" s="29">
        <f t="shared" si="3"/>
        <v>699.2395738292737</v>
      </c>
      <c r="L23">
        <v>1</v>
      </c>
    </row>
    <row r="24" spans="1:12" x14ac:dyDescent="0.25">
      <c r="A24" t="str">
        <f>absorbances!H11</f>
        <v>NCHA100108_FA-1</v>
      </c>
      <c r="B24" t="str">
        <f t="shared" si="0"/>
        <v>NCHA100108</v>
      </c>
      <c r="C24" s="29">
        <f>AVERAGE(absorbances!H58:J58)</f>
        <v>0.313</v>
      </c>
      <c r="E24" s="18">
        <f>courbe_etalon!$F$3*EXP((courbe_etalon!$G$3*quantification!C24))</f>
        <v>5.3598178008188233</v>
      </c>
      <c r="F24" s="29">
        <f>E24*poids!K24</f>
        <v>1502.0251313247099</v>
      </c>
      <c r="G24">
        <f t="shared" si="1"/>
        <v>1.5020251313247099</v>
      </c>
      <c r="I24">
        <f t="shared" si="4"/>
        <v>2.2530376969870647E-2</v>
      </c>
      <c r="J24">
        <f>I24/poids!E24</f>
        <v>5.3643754690168439</v>
      </c>
      <c r="K24" s="29">
        <f t="shared" si="3"/>
        <v>5364.3754690168444</v>
      </c>
      <c r="L24" s="29">
        <v>1</v>
      </c>
    </row>
    <row r="25" spans="1:12" x14ac:dyDescent="0.25">
      <c r="A25" s="79" t="str">
        <f>absorbances!H12</f>
        <v>NCHA100109_FA-1</v>
      </c>
      <c r="B25" s="79" t="str">
        <f t="shared" si="0"/>
        <v>NCHA100109</v>
      </c>
      <c r="C25" s="85">
        <f>AVERAGE(absorbances!H59:J59)</f>
        <v>0.28366666666666668</v>
      </c>
      <c r="D25" s="79"/>
      <c r="E25" s="86">
        <f>courbe_etalon!$F$3*EXP((courbe_etalon!$G$3*quantification!C25))</f>
        <v>3.7921885848724086</v>
      </c>
      <c r="F25" s="29">
        <f>E25*poids!K25</f>
        <v>842.00631727076563</v>
      </c>
      <c r="G25" s="79">
        <f t="shared" si="1"/>
        <v>0.84200631727076558</v>
      </c>
      <c r="H25" s="79"/>
      <c r="I25" s="79">
        <f t="shared" si="4"/>
        <v>1.2630094759061484E-2</v>
      </c>
      <c r="J25" s="79">
        <f>I25/poids!E25</f>
        <v>2.338906436863303</v>
      </c>
      <c r="K25" s="85">
        <f t="shared" si="3"/>
        <v>2338.906436863303</v>
      </c>
      <c r="L25">
        <v>1</v>
      </c>
    </row>
    <row r="26" spans="1:12" x14ac:dyDescent="0.25">
      <c r="A26" s="82" t="str">
        <f>absorbances!P5</f>
        <v>NCHA100315_FA-1</v>
      </c>
      <c r="B26" s="82" t="str">
        <f t="shared" si="0"/>
        <v>NCHA100315</v>
      </c>
      <c r="C26">
        <f>AVERAGE(absorbances!P52,absorbances!Q52,absorbances!R52)</f>
        <v>0.29350000000000004</v>
      </c>
      <c r="E26" s="89">
        <f>courbe_etalon!$F$16*EXP((courbe_etalon!$G$16*quantification!C26))</f>
        <v>3.4775715534670133</v>
      </c>
      <c r="F26" s="29">
        <f>E26*poids!K26</f>
        <v>333.14482417133536</v>
      </c>
      <c r="G26" s="82">
        <f t="shared" si="1"/>
        <v>0.33314482417133534</v>
      </c>
      <c r="I26" s="82">
        <f t="shared" si="4"/>
        <v>4.9971723625700298E-3</v>
      </c>
      <c r="J26" s="82">
        <f>I26/poids!E26</f>
        <v>0.35191354665986146</v>
      </c>
      <c r="K26" s="29">
        <f t="shared" si="3"/>
        <v>351.91354665986148</v>
      </c>
      <c r="L26" s="90">
        <v>10</v>
      </c>
    </row>
    <row r="27" spans="1:12" x14ac:dyDescent="0.25">
      <c r="A27" s="82" t="str">
        <f>absorbances!P6</f>
        <v>NCHA100316_FA-1</v>
      </c>
      <c r="B27" s="82" t="str">
        <f t="shared" si="0"/>
        <v>NCHA100316</v>
      </c>
      <c r="C27">
        <f>AVERAGE(absorbances!P53,absorbances!Q53,absorbances!R53)</f>
        <v>0.23616666666666666</v>
      </c>
      <c r="E27" s="89">
        <f>courbe_etalon!$F$16*EXP((courbe_etalon!$G$16*quantification!C27))</f>
        <v>1.8631356234629057</v>
      </c>
      <c r="F27" s="29">
        <f>E27*poids!K27</f>
        <v>168.98966970707318</v>
      </c>
      <c r="G27" s="82">
        <f t="shared" si="1"/>
        <v>0.16898966970707319</v>
      </c>
      <c r="I27" s="82">
        <f t="shared" si="4"/>
        <v>2.5348450456060979E-3</v>
      </c>
      <c r="J27" s="82">
        <f>I27/poids!E27</f>
        <v>0.1667661214214527</v>
      </c>
      <c r="K27" s="29">
        <f t="shared" si="3"/>
        <v>166.76612142145271</v>
      </c>
      <c r="L27">
        <v>10</v>
      </c>
    </row>
    <row r="28" spans="1:12" x14ac:dyDescent="0.25">
      <c r="A28" s="82" t="str">
        <f>absorbances!P7</f>
        <v>NCHA100317_FA-1</v>
      </c>
      <c r="B28" s="82" t="str">
        <f t="shared" si="0"/>
        <v>NCHA100317</v>
      </c>
      <c r="C28">
        <f>AVERAGE(absorbances!P54,absorbances!Q54,absorbances!R54)</f>
        <v>0.26683333333333331</v>
      </c>
      <c r="E28" s="89">
        <f>courbe_etalon!$F$16*EXP((courbe_etalon!$G$16*quantification!C28))</f>
        <v>2.6014462855933762</v>
      </c>
      <c r="F28" s="29">
        <f>E28*poids!K28</f>
        <v>266.13523641802141</v>
      </c>
      <c r="G28" s="82">
        <f t="shared" si="1"/>
        <v>0.26613523641802139</v>
      </c>
      <c r="I28" s="82">
        <f t="shared" si="4"/>
        <v>3.9920285462703205E-3</v>
      </c>
      <c r="J28" s="82">
        <f>I28/poids!E28</f>
        <v>0.3047350035320881</v>
      </c>
      <c r="K28" s="29">
        <f t="shared" si="3"/>
        <v>304.73500353208811</v>
      </c>
      <c r="L28">
        <v>10</v>
      </c>
    </row>
    <row r="29" spans="1:12" x14ac:dyDescent="0.25">
      <c r="A29" s="82" t="str">
        <f>absorbances!P8</f>
        <v>NCHA100318_FA-1</v>
      </c>
      <c r="B29" s="82" t="str">
        <f t="shared" si="0"/>
        <v>NCHA100318</v>
      </c>
      <c r="C29">
        <f>AVERAGE(absorbances!P55,absorbances!Q55,absorbances!R55)</f>
        <v>0.24916666666666668</v>
      </c>
      <c r="E29" s="89">
        <f>courbe_etalon!$F$16*EXP((courbe_etalon!$G$16*quantification!C29))</f>
        <v>2.1463439094282615</v>
      </c>
      <c r="F29" s="29">
        <f>E29*poids!K29</f>
        <v>231.29909365424106</v>
      </c>
      <c r="G29" s="82">
        <f t="shared" si="1"/>
        <v>0.23129909365424106</v>
      </c>
      <c r="I29" s="82">
        <f t="shared" si="4"/>
        <v>3.4694864048136157E-3</v>
      </c>
      <c r="J29" s="82">
        <f>I29/poids!E29</f>
        <v>0.28207206543200181</v>
      </c>
      <c r="K29" s="29">
        <f t="shared" si="3"/>
        <v>282.07206543200181</v>
      </c>
      <c r="L29">
        <v>10</v>
      </c>
    </row>
    <row r="30" spans="1:12" x14ac:dyDescent="0.25">
      <c r="A30" s="82" t="str">
        <f>absorbances!P9</f>
        <v>NCHA100319_FA-1</v>
      </c>
      <c r="B30" s="82" t="str">
        <f t="shared" si="0"/>
        <v>NCHA100319</v>
      </c>
      <c r="C30">
        <f>AVERAGE(absorbances!P56,absorbances!Q56,absorbances!R56)</f>
        <v>0.26650000000000001</v>
      </c>
      <c r="E30" s="89">
        <f>courbe_etalon!$F$16*EXP((courbe_etalon!$G$16*quantification!C30))</f>
        <v>2.5920244743926575</v>
      </c>
      <c r="F30" s="29">
        <f>E30*poids!K30</f>
        <v>211.38406489443491</v>
      </c>
      <c r="G30" s="82">
        <f t="shared" si="1"/>
        <v>0.21138406489443493</v>
      </c>
      <c r="I30" s="82">
        <f t="shared" si="4"/>
        <v>3.1707609734165239E-3</v>
      </c>
      <c r="J30" s="82">
        <f>I30/poids!E30</f>
        <v>0.18222764215037407</v>
      </c>
      <c r="K30" s="29">
        <f t="shared" si="3"/>
        <v>182.22764215037407</v>
      </c>
      <c r="L30">
        <v>10</v>
      </c>
    </row>
    <row r="31" spans="1:12" x14ac:dyDescent="0.25">
      <c r="A31" s="82" t="str">
        <f>absorbances!P10</f>
        <v>NCHA100320_FA-1</v>
      </c>
      <c r="B31" s="82" t="str">
        <f t="shared" si="0"/>
        <v>NCHA100320</v>
      </c>
      <c r="C31">
        <f>AVERAGE(absorbances!P57,absorbances!Q57,absorbances!R57)</f>
        <v>0.26516666666666672</v>
      </c>
      <c r="E31" s="89">
        <f>courbe_etalon!$F$16*EXP((courbe_etalon!$G$16*quantification!C31))</f>
        <v>2.5546772312386139</v>
      </c>
      <c r="F31" s="29">
        <f>E31*poids!K31</f>
        <v>258.12484355234125</v>
      </c>
      <c r="G31" s="82">
        <f t="shared" si="1"/>
        <v>0.25812484355234122</v>
      </c>
      <c r="I31" s="82">
        <f t="shared" si="4"/>
        <v>3.871872653285118E-3</v>
      </c>
      <c r="J31" s="82">
        <f>I31/poids!E31</f>
        <v>0.29111824460790164</v>
      </c>
      <c r="K31" s="29">
        <f t="shared" si="3"/>
        <v>291.11824460790166</v>
      </c>
      <c r="L31">
        <v>10</v>
      </c>
    </row>
    <row r="32" spans="1:12" x14ac:dyDescent="0.25">
      <c r="A32" s="82" t="str">
        <f>absorbances!P11</f>
        <v>NCHA100321_FA-1</v>
      </c>
      <c r="B32" s="82" t="str">
        <f t="shared" si="0"/>
        <v>NCHA100321</v>
      </c>
      <c r="C32">
        <f>AVERAGE(absorbances!P58,absorbances!Q58,absorbances!R58)</f>
        <v>0.28716666666666663</v>
      </c>
      <c r="E32" s="89">
        <f>courbe_etalon!$F$16*EXP((courbe_etalon!$G$16*quantification!C32))</f>
        <v>3.2459104710391951</v>
      </c>
      <c r="F32" s="29">
        <f>E32*poids!K32</f>
        <v>505.82104840360745</v>
      </c>
      <c r="G32" s="82">
        <f t="shared" si="1"/>
        <v>0.50582104840360742</v>
      </c>
      <c r="I32" s="82">
        <f t="shared" si="4"/>
        <v>7.5873157260541117E-3</v>
      </c>
      <c r="J32" s="82">
        <f>I32/poids!E32</f>
        <v>0.94841446575676314</v>
      </c>
      <c r="K32" s="29">
        <f t="shared" si="3"/>
        <v>948.41446575676309</v>
      </c>
      <c r="L32">
        <v>10</v>
      </c>
    </row>
    <row r="33" spans="1:12" x14ac:dyDescent="0.25">
      <c r="A33" s="82" t="str">
        <f>absorbances!P12</f>
        <v>NCHA100322_FA-1</v>
      </c>
      <c r="B33" s="82" t="str">
        <f t="shared" si="0"/>
        <v>NCHA100322</v>
      </c>
      <c r="C33">
        <f>AVERAGE(absorbances!P59,absorbances!Q59,absorbances!R59)</f>
        <v>0.31083333333333335</v>
      </c>
      <c r="E33" s="89">
        <f>courbe_etalon!$F$16*EXP((courbe_etalon!$G$16*quantification!C33))</f>
        <v>4.1996767332777099</v>
      </c>
      <c r="F33" s="29">
        <f>E33*poids!K33</f>
        <v>406.96867391524444</v>
      </c>
      <c r="G33" s="82">
        <f t="shared" si="1"/>
        <v>0.40696867391524444</v>
      </c>
      <c r="I33" s="82">
        <f t="shared" si="4"/>
        <v>6.1045301087286662E-3</v>
      </c>
      <c r="J33" s="82">
        <f>I33/poids!E33</f>
        <v>0.43603786490919005</v>
      </c>
      <c r="K33" s="29">
        <f t="shared" si="3"/>
        <v>436.03786490919003</v>
      </c>
      <c r="L33">
        <v>10</v>
      </c>
    </row>
    <row r="34" spans="1:12" x14ac:dyDescent="0.25">
      <c r="A34" s="87" t="str">
        <f>absorbances!S5</f>
        <v>NCHA100323_FA-1</v>
      </c>
      <c r="B34" s="82" t="str">
        <f t="shared" si="0"/>
        <v>NCHA100323</v>
      </c>
      <c r="C34">
        <f>AVERAGE(absorbances!S52,absorbances!T52,absorbances!U52)</f>
        <v>0.29016666666666668</v>
      </c>
      <c r="E34" s="89">
        <f>courbe_etalon!$F$16*EXP((courbe_etalon!$G$16*quantification!C34))</f>
        <v>3.3536553069832875</v>
      </c>
      <c r="F34" s="29">
        <f>E34*poids!K34</f>
        <v>708.68031881777983</v>
      </c>
      <c r="G34" s="82">
        <f t="shared" si="1"/>
        <v>0.70868031881777982</v>
      </c>
      <c r="I34" s="82">
        <f t="shared" si="4"/>
        <v>1.0630204782266697E-2</v>
      </c>
      <c r="J34" s="82">
        <f>I34/poids!E34</f>
        <v>1.8649482074151973</v>
      </c>
      <c r="K34" s="29">
        <f t="shared" si="3"/>
        <v>1864.9482074151972</v>
      </c>
      <c r="L34">
        <v>10</v>
      </c>
    </row>
    <row r="35" spans="1:12" x14ac:dyDescent="0.25">
      <c r="A35" s="87" t="str">
        <f>absorbances!S6</f>
        <v>NCHA100324_FA-1</v>
      </c>
      <c r="B35" s="82" t="str">
        <f t="shared" si="0"/>
        <v>NCHA100324</v>
      </c>
      <c r="C35">
        <f>AVERAGE(absorbances!S53,absorbances!T53,absorbances!U53)</f>
        <v>0.21683333333333332</v>
      </c>
      <c r="E35" s="89">
        <f>courbe_etalon!$F$16*EXP((courbe_etalon!$G$16*quantification!C35))</f>
        <v>1.5095589982926549</v>
      </c>
      <c r="F35" s="29">
        <f>E35*poids!K35</f>
        <v>202.4662902096014</v>
      </c>
      <c r="G35" s="82">
        <f t="shared" si="1"/>
        <v>0.20246629020960139</v>
      </c>
      <c r="I35" s="82">
        <f t="shared" si="4"/>
        <v>3.0369943531440209E-3</v>
      </c>
      <c r="J35" s="82">
        <f>I35/poids!E35</f>
        <v>0.31968361612042112</v>
      </c>
      <c r="K35" s="29">
        <f t="shared" si="3"/>
        <v>319.68361612042111</v>
      </c>
      <c r="L35">
        <v>10</v>
      </c>
    </row>
    <row r="36" spans="1:12" x14ac:dyDescent="0.25">
      <c r="A36" s="87" t="str">
        <f>absorbances!S7</f>
        <v>NCHA100325_FA-1</v>
      </c>
      <c r="B36" s="82" t="str">
        <f t="shared" si="0"/>
        <v>NCHA100325</v>
      </c>
      <c r="C36">
        <f>AVERAGE(absorbances!S54,absorbances!T54,absorbances!U54)</f>
        <v>0.22383333333333333</v>
      </c>
      <c r="E36" s="89">
        <f>courbe_etalon!$F$16*EXP((courbe_etalon!$G$16*quantification!C36))</f>
        <v>1.6290753013531172</v>
      </c>
      <c r="F36" s="29">
        <f>E36*poids!K36</f>
        <v>188.44893198395891</v>
      </c>
      <c r="G36" s="82">
        <f t="shared" si="1"/>
        <v>0.1884489319839589</v>
      </c>
      <c r="I36" s="82">
        <f t="shared" si="4"/>
        <v>2.8267339797593835E-3</v>
      </c>
      <c r="J36" s="82">
        <f>I36/poids!E36</f>
        <v>0.2501534495362267</v>
      </c>
      <c r="K36" s="29">
        <f t="shared" si="3"/>
        <v>250.1534495362267</v>
      </c>
      <c r="L36">
        <v>10</v>
      </c>
    </row>
    <row r="37" spans="1:12" x14ac:dyDescent="0.25">
      <c r="A37" s="87" t="str">
        <f>absorbances!S8</f>
        <v>NCHA100326_FA-1</v>
      </c>
      <c r="B37" s="82" t="str">
        <f t="shared" si="0"/>
        <v>NCHA100326</v>
      </c>
      <c r="C37">
        <f>AVERAGE(absorbances!S55,absorbances!T55,absorbances!U55)</f>
        <v>0.24350000000000002</v>
      </c>
      <c r="E37" s="89">
        <f>courbe_etalon!$F$16*EXP((courbe_etalon!$G$16*quantification!C37))</f>
        <v>2.0179541894885937</v>
      </c>
      <c r="F37" s="29">
        <f>E37*poids!K37</f>
        <v>176.60272041970907</v>
      </c>
      <c r="G37" s="82">
        <f t="shared" si="1"/>
        <v>0.17660272041970906</v>
      </c>
      <c r="I37" s="82">
        <f t="shared" si="4"/>
        <v>2.6490408062956358E-3</v>
      </c>
      <c r="J37" s="82">
        <f>I37/poids!E37</f>
        <v>0.16660634001859317</v>
      </c>
      <c r="K37" s="29">
        <f t="shared" si="3"/>
        <v>166.60634001859319</v>
      </c>
      <c r="L37">
        <v>10</v>
      </c>
    </row>
    <row r="38" spans="1:12" x14ac:dyDescent="0.25">
      <c r="A38" s="87" t="str">
        <f>absorbances!S9</f>
        <v>NCHA100327_FA-1</v>
      </c>
      <c r="B38" s="82" t="str">
        <f t="shared" si="0"/>
        <v>NCHA100327</v>
      </c>
      <c r="C38">
        <f>AVERAGE(absorbances!S56,absorbances!T56,absorbances!U56)</f>
        <v>0.1275</v>
      </c>
      <c r="E38" s="89">
        <f>courbe_etalon!$F$16*EXP((courbe_etalon!$G$16*quantification!C38))</f>
        <v>0.57088026817500503</v>
      </c>
      <c r="F38" s="29">
        <f>E38*poids!K38</f>
        <v>60.304891820709074</v>
      </c>
      <c r="G38" s="82">
        <f t="shared" si="1"/>
        <v>6.0304891820709076E-2</v>
      </c>
      <c r="I38" s="82">
        <f t="shared" si="4"/>
        <v>9.0457337731063617E-4</v>
      </c>
      <c r="J38" s="82">
        <f>I38/poids!E38</f>
        <v>7.1791537881796832E-2</v>
      </c>
      <c r="K38" s="29">
        <f t="shared" si="3"/>
        <v>71.791537881796827</v>
      </c>
      <c r="L38">
        <v>10</v>
      </c>
    </row>
    <row r="39" spans="1:12" x14ac:dyDescent="0.25">
      <c r="A39" s="87" t="str">
        <f>absorbances!S10</f>
        <v>NCHA100328_FA-1</v>
      </c>
      <c r="B39" s="82" t="str">
        <f t="shared" si="0"/>
        <v>NCHA100328</v>
      </c>
      <c r="C39">
        <f>AVERAGE(absorbances!S57,absorbances!T57,absorbances!U57)</f>
        <v>0.1835</v>
      </c>
      <c r="E39" s="89">
        <f>courbe_etalon!$F$16*EXP((courbe_etalon!$G$16*quantification!C39))</f>
        <v>1.0502037791566941</v>
      </c>
      <c r="F39" s="29">
        <f>E39*poids!K39</f>
        <v>171.25691451335814</v>
      </c>
      <c r="G39" s="82">
        <f t="shared" si="1"/>
        <v>0.17125691451335814</v>
      </c>
      <c r="I39" s="82">
        <f t="shared" si="4"/>
        <v>2.5688537177003725E-3</v>
      </c>
      <c r="J39" s="82">
        <f>I39/poids!E39</f>
        <v>0.33800706811846781</v>
      </c>
      <c r="K39" s="29">
        <f t="shared" si="3"/>
        <v>338.00706811846783</v>
      </c>
      <c r="L39">
        <v>10</v>
      </c>
    </row>
    <row r="40" spans="1:12" x14ac:dyDescent="0.25">
      <c r="A40" s="87" t="str">
        <f>absorbances!S11</f>
        <v>NCHA100329_FA-1</v>
      </c>
      <c r="B40" s="82" t="str">
        <f t="shared" si="0"/>
        <v>NCHA100329</v>
      </c>
      <c r="C40">
        <f>AVERAGE(absorbances!S58,absorbances!T58,absorbances!U58)</f>
        <v>0.14783333333333334</v>
      </c>
      <c r="E40" s="89">
        <f>courbe_etalon!$F$16*EXP((courbe_etalon!$G$16*quantification!C40))</f>
        <v>0.71230617001044383</v>
      </c>
      <c r="F40" s="29">
        <f>E40*poids!K40</f>
        <v>52.040876152255542</v>
      </c>
      <c r="G40" s="82">
        <f t="shared" si="1"/>
        <v>5.2040876152255541E-2</v>
      </c>
      <c r="I40" s="82">
        <f>G40*15/1000</f>
        <v>7.8061314228383314E-4</v>
      </c>
      <c r="J40" s="82">
        <f>I40/poids!E40</f>
        <v>3.8836474740489201E-2</v>
      </c>
      <c r="K40" s="29">
        <f t="shared" si="3"/>
        <v>38.836474740489201</v>
      </c>
      <c r="L40">
        <v>10</v>
      </c>
    </row>
    <row r="41" spans="1:12" x14ac:dyDescent="0.25">
      <c r="A41" s="87" t="str">
        <f>absorbances!S12</f>
        <v>NCHA100330_FA-1</v>
      </c>
      <c r="B41" s="82" t="str">
        <f t="shared" si="0"/>
        <v>NCHA100330</v>
      </c>
      <c r="C41">
        <f>AVERAGE(absorbances!S59,absorbances!T59,absorbances!U59)</f>
        <v>0.34116666666666667</v>
      </c>
      <c r="E41" s="89">
        <f>courbe_etalon!$F$16*EXP((courbe_etalon!$G$16*quantification!C41))</f>
        <v>5.8426583336754891</v>
      </c>
      <c r="F41" s="29">
        <f>E41*poids!K41</f>
        <v>499.00102272569995</v>
      </c>
      <c r="G41" s="82">
        <f t="shared" si="1"/>
        <v>0.49900102272569996</v>
      </c>
      <c r="I41" s="82">
        <f t="shared" si="4"/>
        <v>7.4850153408854989E-3</v>
      </c>
      <c r="J41" s="82">
        <f>I41/poids!E41</f>
        <v>0.45640337444423856</v>
      </c>
      <c r="K41" s="29">
        <f t="shared" si="3"/>
        <v>456.40337444423858</v>
      </c>
      <c r="L41">
        <v>10</v>
      </c>
    </row>
    <row r="42" spans="1:12" x14ac:dyDescent="0.25">
      <c r="A42" s="88" t="str">
        <f>absorbances!V5</f>
        <v>NCHA100331_FA-1</v>
      </c>
      <c r="B42" s="82" t="str">
        <f t="shared" si="0"/>
        <v>NCHA100331</v>
      </c>
      <c r="C42">
        <f>AVERAGE(absorbances!V52,absorbances!W52,absorbances!X52)</f>
        <v>0.2535</v>
      </c>
      <c r="E42" s="89">
        <f>courbe_etalon!$F$16*EXP((courbe_etalon!$G$16*quantification!C42))</f>
        <v>2.2500090101660795</v>
      </c>
      <c r="F42" s="29">
        <f>E42*poids!K42</f>
        <v>354.54255900697075</v>
      </c>
      <c r="G42" s="82">
        <f t="shared" si="1"/>
        <v>0.35454255900697074</v>
      </c>
      <c r="I42" s="82">
        <f t="shared" si="4"/>
        <v>5.3181383851045611E-3</v>
      </c>
      <c r="J42" s="82">
        <f>I42/poids!E42</f>
        <v>0.67318207406386699</v>
      </c>
      <c r="K42" s="29">
        <f t="shared" si="3"/>
        <v>673.18207406386693</v>
      </c>
      <c r="L42">
        <v>10</v>
      </c>
    </row>
    <row r="43" spans="1:12" x14ac:dyDescent="0.25">
      <c r="A43" t="str">
        <f>absorbances!V6</f>
        <v>NCHA100092_FA-1</v>
      </c>
      <c r="B43" s="82" t="str">
        <f t="shared" si="0"/>
        <v>NCHA100092</v>
      </c>
      <c r="C43">
        <f>AVERAGE(absorbances!V53,absorbances!W53,absorbances!X53)</f>
        <v>0.27450000000000002</v>
      </c>
      <c r="E43" s="89">
        <f>courbe_etalon!$F$16*EXP((courbe_etalon!$G$16*quantification!C43))</f>
        <v>2.8278571123835543</v>
      </c>
      <c r="F43" s="29">
        <f>E43*poids!K43</f>
        <v>218.18858308292576</v>
      </c>
      <c r="G43" s="82">
        <f t="shared" si="1"/>
        <v>0.21818858308292577</v>
      </c>
      <c r="I43" s="82">
        <f t="shared" si="4"/>
        <v>3.2728287462438868E-3</v>
      </c>
      <c r="J43" s="82">
        <f>I43/poids!E43</f>
        <v>0.17501758001304057</v>
      </c>
      <c r="K43" s="29">
        <f t="shared" si="3"/>
        <v>175.01758001304057</v>
      </c>
      <c r="L4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absorbances</vt:lpstr>
      <vt:lpstr>courbe_etalon</vt:lpstr>
      <vt:lpstr>poids</vt:lpstr>
      <vt:lpstr>quantification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BLANCHET</dc:creator>
  <cp:lastModifiedBy>Julie BLANCHET</cp:lastModifiedBy>
  <dcterms:created xsi:type="dcterms:W3CDTF">2025-03-10T13:14:35Z</dcterms:created>
  <dcterms:modified xsi:type="dcterms:W3CDTF">2025-05-07T09:22:16Z</dcterms:modified>
</cp:coreProperties>
</file>