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anchej\Documents\Julie\ELISA_IgA\data\raw_data\Traitements\"/>
    </mc:Choice>
  </mc:AlternateContent>
  <bookViews>
    <workbookView xWindow="0" yWindow="0" windowWidth="13140" windowHeight="7965" activeTab="3"/>
  </bookViews>
  <sheets>
    <sheet name="absorbances" sheetId="1" r:id="rId1"/>
    <sheet name="courbe_etalon" sheetId="3" r:id="rId2"/>
    <sheet name="poids" sheetId="4" r:id="rId3"/>
    <sheet name="quantification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2" i="2"/>
  <c r="E9" i="2"/>
  <c r="E8" i="2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2" i="4"/>
  <c r="J2" i="4"/>
  <c r="H2" i="4"/>
  <c r="H49" i="4"/>
  <c r="I49" i="4" s="1"/>
  <c r="J49" i="4" s="1"/>
  <c r="H48" i="4"/>
  <c r="I48" i="4" s="1"/>
  <c r="J48" i="4" s="1"/>
  <c r="H47" i="4"/>
  <c r="I47" i="4" s="1"/>
  <c r="J47" i="4" s="1"/>
  <c r="H46" i="4"/>
  <c r="I46" i="4" s="1"/>
  <c r="J46" i="4" s="1"/>
  <c r="H45" i="4"/>
  <c r="I45" i="4" s="1"/>
  <c r="J45" i="4" s="1"/>
  <c r="H44" i="4"/>
  <c r="I44" i="4" s="1"/>
  <c r="J44" i="4" s="1"/>
  <c r="H43" i="4"/>
  <c r="I43" i="4" s="1"/>
  <c r="J43" i="4" s="1"/>
  <c r="H42" i="4"/>
  <c r="I42" i="4" s="1"/>
  <c r="J42" i="4" s="1"/>
  <c r="H41" i="4"/>
  <c r="I41" i="4" s="1"/>
  <c r="J41" i="4" s="1"/>
  <c r="H40" i="4"/>
  <c r="I40" i="4" s="1"/>
  <c r="J40" i="4" s="1"/>
  <c r="H39" i="4"/>
  <c r="I39" i="4" s="1"/>
  <c r="J39" i="4" s="1"/>
  <c r="H38" i="4"/>
  <c r="I38" i="4" s="1"/>
  <c r="J38" i="4" s="1"/>
  <c r="H37" i="4"/>
  <c r="I37" i="4" s="1"/>
  <c r="J37" i="4" s="1"/>
  <c r="H36" i="4"/>
  <c r="I36" i="4" s="1"/>
  <c r="J36" i="4" s="1"/>
  <c r="H35" i="4"/>
  <c r="I35" i="4" s="1"/>
  <c r="J35" i="4" s="1"/>
  <c r="H34" i="4"/>
  <c r="I34" i="4" s="1"/>
  <c r="J34" i="4" s="1"/>
  <c r="H33" i="4"/>
  <c r="I33" i="4" s="1"/>
  <c r="J33" i="4" s="1"/>
  <c r="H32" i="4"/>
  <c r="I32" i="4" s="1"/>
  <c r="J32" i="4" s="1"/>
  <c r="H31" i="4"/>
  <c r="I31" i="4" s="1"/>
  <c r="J31" i="4" s="1"/>
  <c r="H30" i="4"/>
  <c r="I30" i="4" s="1"/>
  <c r="J30" i="4" s="1"/>
  <c r="H29" i="4"/>
  <c r="I29" i="4" s="1"/>
  <c r="J29" i="4" s="1"/>
  <c r="H28" i="4"/>
  <c r="I28" i="4" s="1"/>
  <c r="J28" i="4" s="1"/>
  <c r="H27" i="4"/>
  <c r="I27" i="4" s="1"/>
  <c r="J27" i="4" s="1"/>
  <c r="H26" i="4"/>
  <c r="I26" i="4" s="1"/>
  <c r="J26" i="4" s="1"/>
  <c r="H25" i="4"/>
  <c r="I25" i="4" s="1"/>
  <c r="J25" i="4" s="1"/>
  <c r="H24" i="4"/>
  <c r="I24" i="4" s="1"/>
  <c r="J24" i="4" s="1"/>
  <c r="H23" i="4"/>
  <c r="I23" i="4" s="1"/>
  <c r="J23" i="4" s="1"/>
  <c r="H22" i="4"/>
  <c r="I22" i="4" s="1"/>
  <c r="J22" i="4" s="1"/>
  <c r="H21" i="4"/>
  <c r="I21" i="4" s="1"/>
  <c r="J21" i="4" s="1"/>
  <c r="H20" i="4"/>
  <c r="I20" i="4" s="1"/>
  <c r="J20" i="4" s="1"/>
  <c r="H19" i="4"/>
  <c r="I19" i="4" s="1"/>
  <c r="J19" i="4" s="1"/>
  <c r="H18" i="4"/>
  <c r="I18" i="4" s="1"/>
  <c r="J18" i="4" s="1"/>
  <c r="H17" i="4"/>
  <c r="I17" i="4" s="1"/>
  <c r="J17" i="4" s="1"/>
  <c r="H16" i="4"/>
  <c r="I16" i="4" s="1"/>
  <c r="J16" i="4" s="1"/>
  <c r="H15" i="4"/>
  <c r="I15" i="4" s="1"/>
  <c r="J15" i="4" s="1"/>
  <c r="H14" i="4"/>
  <c r="I14" i="4" s="1"/>
  <c r="J14" i="4" s="1"/>
  <c r="H13" i="4"/>
  <c r="I13" i="4" s="1"/>
  <c r="J13" i="4" s="1"/>
  <c r="H12" i="4"/>
  <c r="I12" i="4" s="1"/>
  <c r="J12" i="4" s="1"/>
  <c r="H11" i="4"/>
  <c r="I11" i="4" s="1"/>
  <c r="J11" i="4" s="1"/>
  <c r="H10" i="4"/>
  <c r="I10" i="4" s="1"/>
  <c r="J10" i="4" s="1"/>
  <c r="H9" i="4"/>
  <c r="I9" i="4" s="1"/>
  <c r="J9" i="4" s="1"/>
  <c r="H8" i="4"/>
  <c r="I8" i="4" s="1"/>
  <c r="J8" i="4" s="1"/>
  <c r="H7" i="4"/>
  <c r="I7" i="4" s="1"/>
  <c r="J7" i="4" s="1"/>
  <c r="H6" i="4"/>
  <c r="I6" i="4" s="1"/>
  <c r="J6" i="4" s="1"/>
  <c r="H5" i="4"/>
  <c r="I5" i="4" s="1"/>
  <c r="J5" i="4" s="1"/>
  <c r="H4" i="4"/>
  <c r="I4" i="4" s="1"/>
  <c r="J4" i="4" s="1"/>
  <c r="H3" i="4"/>
  <c r="I3" i="4" s="1"/>
  <c r="J3" i="4" s="1"/>
  <c r="I2" i="4"/>
  <c r="F19" i="3"/>
  <c r="F6" i="3"/>
  <c r="B13" i="2" l="1"/>
  <c r="A44" i="4" l="1"/>
  <c r="A45" i="4"/>
  <c r="A46" i="4"/>
  <c r="A47" i="4"/>
  <c r="A48" i="4"/>
  <c r="A49" i="4"/>
  <c r="B44" i="4"/>
  <c r="B45" i="4"/>
  <c r="B46" i="4"/>
  <c r="B47" i="4"/>
  <c r="B48" i="4"/>
  <c r="B49" i="4"/>
  <c r="AA39" i="1" l="1"/>
  <c r="AA40" i="1"/>
  <c r="Z40" i="1"/>
  <c r="Z39" i="1"/>
  <c r="Z41" i="1"/>
  <c r="Q44" i="1"/>
  <c r="C44" i="1"/>
  <c r="A44" i="2" l="1"/>
  <c r="B44" i="2" s="1"/>
  <c r="A45" i="2"/>
  <c r="B45" i="2" s="1"/>
  <c r="A46" i="2"/>
  <c r="B46" i="2" s="1"/>
  <c r="A47" i="2"/>
  <c r="B47" i="2" s="1"/>
  <c r="A48" i="2"/>
  <c r="B48" i="2" s="1"/>
  <c r="A49" i="2"/>
  <c r="B49" i="2" s="1"/>
  <c r="F49" i="4"/>
  <c r="L49" i="2" s="1"/>
  <c r="F48" i="4"/>
  <c r="L48" i="2" s="1"/>
  <c r="F47" i="4"/>
  <c r="L47" i="2" s="1"/>
  <c r="F46" i="4"/>
  <c r="L46" i="2" s="1"/>
  <c r="F45" i="4"/>
  <c r="L45" i="2" s="1"/>
  <c r="F44" i="4"/>
  <c r="L44" i="2" s="1"/>
  <c r="E44" i="4"/>
  <c r="E45" i="4"/>
  <c r="E46" i="4"/>
  <c r="E47" i="4"/>
  <c r="E48" i="4"/>
  <c r="E49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J44" i="1" l="1"/>
  <c r="P42" i="1"/>
  <c r="C43" i="1"/>
  <c r="K44" i="1"/>
  <c r="J41" i="1"/>
  <c r="G46" i="1"/>
  <c r="E41" i="1"/>
  <c r="F32" i="4"/>
  <c r="L32" i="2" s="1"/>
  <c r="F33" i="4"/>
  <c r="L33" i="2" s="1"/>
  <c r="F34" i="4"/>
  <c r="L34" i="2" s="1"/>
  <c r="F35" i="4"/>
  <c r="L35" i="2" s="1"/>
  <c r="F36" i="4"/>
  <c r="L36" i="2" s="1"/>
  <c r="F37" i="4"/>
  <c r="L37" i="2" s="1"/>
  <c r="F38" i="4"/>
  <c r="L38" i="2" s="1"/>
  <c r="F39" i="4"/>
  <c r="L39" i="2" s="1"/>
  <c r="F40" i="4"/>
  <c r="L40" i="2" s="1"/>
  <c r="F41" i="4"/>
  <c r="L41" i="2" s="1"/>
  <c r="F42" i="4"/>
  <c r="L42" i="2" s="1"/>
  <c r="F43" i="4"/>
  <c r="L43" i="2" s="1"/>
  <c r="F31" i="4"/>
  <c r="L31" i="2" s="1"/>
  <c r="F30" i="4"/>
  <c r="L30" i="2" s="1"/>
  <c r="F29" i="4"/>
  <c r="L29" i="2" s="1"/>
  <c r="F28" i="4"/>
  <c r="L28" i="2" s="1"/>
  <c r="F27" i="4"/>
  <c r="L27" i="2" s="1"/>
  <c r="F26" i="4"/>
  <c r="L26" i="2" s="1"/>
  <c r="F25" i="4"/>
  <c r="L25" i="2" s="1"/>
  <c r="F24" i="4"/>
  <c r="L24" i="2" s="1"/>
  <c r="F23" i="4"/>
  <c r="L23" i="2" s="1"/>
  <c r="F22" i="4"/>
  <c r="L22" i="2" s="1"/>
  <c r="F21" i="4"/>
  <c r="L21" i="2" s="1"/>
  <c r="F20" i="4"/>
  <c r="L20" i="2" s="1"/>
  <c r="F19" i="4"/>
  <c r="L19" i="2" s="1"/>
  <c r="F18" i="4"/>
  <c r="L18" i="2" s="1"/>
  <c r="F17" i="4"/>
  <c r="L17" i="2" s="1"/>
  <c r="F16" i="4"/>
  <c r="L16" i="2" s="1"/>
  <c r="F15" i="4"/>
  <c r="L15" i="2" s="1"/>
  <c r="F14" i="4"/>
  <c r="L14" i="2" s="1"/>
  <c r="F13" i="4"/>
  <c r="L13" i="2" s="1"/>
  <c r="F12" i="4"/>
  <c r="L12" i="2" s="1"/>
  <c r="F11" i="4"/>
  <c r="L11" i="2" s="1"/>
  <c r="F10" i="4"/>
  <c r="L10" i="2" s="1"/>
  <c r="F9" i="4"/>
  <c r="L9" i="2" s="1"/>
  <c r="F8" i="4"/>
  <c r="L8" i="2" s="1"/>
  <c r="F7" i="4"/>
  <c r="L7" i="2" s="1"/>
  <c r="F6" i="4"/>
  <c r="L6" i="2" s="1"/>
  <c r="F5" i="4"/>
  <c r="L5" i="2" s="1"/>
  <c r="F4" i="4"/>
  <c r="L4" i="2" s="1"/>
  <c r="F3" i="4"/>
  <c r="L3" i="2" s="1"/>
  <c r="F2" i="4"/>
  <c r="L2" i="2" s="1"/>
  <c r="A14" i="3"/>
  <c r="A1" i="3"/>
  <c r="B13" i="4" l="1"/>
  <c r="A43" i="2" l="1"/>
  <c r="B43" i="2" s="1"/>
  <c r="A42" i="2"/>
  <c r="B42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34" i="2"/>
  <c r="B34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26" i="2"/>
  <c r="B26" i="2" s="1"/>
  <c r="B43" i="4"/>
  <c r="B42" i="4"/>
  <c r="B35" i="4"/>
  <c r="B36" i="4"/>
  <c r="B37" i="4"/>
  <c r="B38" i="4"/>
  <c r="B39" i="4"/>
  <c r="B40" i="4"/>
  <c r="B41" i="4"/>
  <c r="B34" i="4"/>
  <c r="B27" i="4"/>
  <c r="B28" i="4"/>
  <c r="B29" i="4"/>
  <c r="B30" i="4"/>
  <c r="B31" i="4"/>
  <c r="B32" i="4"/>
  <c r="B33" i="4"/>
  <c r="B26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A27" i="4" l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B25" i="3"/>
  <c r="B26" i="3" s="1"/>
  <c r="Q43" i="1"/>
  <c r="Q39" i="1"/>
  <c r="P39" i="1"/>
  <c r="U39" i="1" l="1"/>
  <c r="AA46" i="1"/>
  <c r="Z46" i="1"/>
  <c r="Y46" i="1"/>
  <c r="X46" i="1"/>
  <c r="W46" i="1"/>
  <c r="V46" i="1"/>
  <c r="U46" i="1"/>
  <c r="T46" i="1"/>
  <c r="S46" i="1"/>
  <c r="R46" i="1"/>
  <c r="Q46" i="1"/>
  <c r="P46" i="1"/>
  <c r="AA45" i="1"/>
  <c r="Z45" i="1"/>
  <c r="Y45" i="1"/>
  <c r="X45" i="1"/>
  <c r="W45" i="1"/>
  <c r="V45" i="1"/>
  <c r="U45" i="1"/>
  <c r="T45" i="1"/>
  <c r="S45" i="1"/>
  <c r="R45" i="1"/>
  <c r="Q45" i="1"/>
  <c r="P45" i="1"/>
  <c r="AA44" i="1"/>
  <c r="Z44" i="1"/>
  <c r="Y44" i="1"/>
  <c r="X44" i="1"/>
  <c r="W44" i="1"/>
  <c r="V44" i="1"/>
  <c r="U44" i="1"/>
  <c r="T44" i="1"/>
  <c r="S44" i="1"/>
  <c r="R44" i="1"/>
  <c r="P44" i="1"/>
  <c r="AA43" i="1"/>
  <c r="Z43" i="1"/>
  <c r="Y43" i="1"/>
  <c r="X43" i="1"/>
  <c r="W43" i="1"/>
  <c r="V43" i="1"/>
  <c r="U43" i="1"/>
  <c r="T43" i="1"/>
  <c r="S43" i="1"/>
  <c r="R43" i="1"/>
  <c r="P43" i="1"/>
  <c r="AA42" i="1"/>
  <c r="Z42" i="1"/>
  <c r="Y42" i="1"/>
  <c r="X42" i="1"/>
  <c r="W42" i="1"/>
  <c r="V42" i="1"/>
  <c r="U42" i="1"/>
  <c r="T42" i="1"/>
  <c r="S42" i="1"/>
  <c r="R42" i="1"/>
  <c r="Q42" i="1"/>
  <c r="AA41" i="1"/>
  <c r="Y41" i="1"/>
  <c r="X41" i="1"/>
  <c r="W41" i="1"/>
  <c r="V41" i="1"/>
  <c r="U41" i="1"/>
  <c r="T41" i="1"/>
  <c r="S41" i="1"/>
  <c r="R41" i="1"/>
  <c r="Q41" i="1"/>
  <c r="P41" i="1"/>
  <c r="Y40" i="1"/>
  <c r="X40" i="1"/>
  <c r="W40" i="1"/>
  <c r="V40" i="1"/>
  <c r="U40" i="1"/>
  <c r="T40" i="1"/>
  <c r="S40" i="1"/>
  <c r="R40" i="1"/>
  <c r="Q40" i="1"/>
  <c r="P40" i="1"/>
  <c r="Y39" i="1"/>
  <c r="X39" i="1"/>
  <c r="W39" i="1"/>
  <c r="V39" i="1"/>
  <c r="T39" i="1"/>
  <c r="S39" i="1"/>
  <c r="R39" i="1"/>
  <c r="Y47" i="1" l="1"/>
  <c r="U57" i="1" s="1"/>
  <c r="AA52" i="1" l="1"/>
  <c r="Z52" i="1"/>
  <c r="R56" i="1"/>
  <c r="R53" i="1"/>
  <c r="X53" i="1"/>
  <c r="S54" i="1"/>
  <c r="X59" i="1"/>
  <c r="AA59" i="1"/>
  <c r="W53" i="1"/>
  <c r="AA55" i="1"/>
  <c r="T56" i="1"/>
  <c r="V56" i="1"/>
  <c r="P57" i="1"/>
  <c r="S59" i="1"/>
  <c r="S56" i="1"/>
  <c r="S69" i="1" s="1"/>
  <c r="Y59" i="1"/>
  <c r="V53" i="1"/>
  <c r="V66" i="1" s="1"/>
  <c r="V57" i="1"/>
  <c r="Y52" i="1"/>
  <c r="Y65" i="1" s="1"/>
  <c r="W54" i="1"/>
  <c r="V67" i="1" s="1"/>
  <c r="Z56" i="1"/>
  <c r="S52" i="1"/>
  <c r="Z57" i="1"/>
  <c r="AA57" i="1"/>
  <c r="Q55" i="1"/>
  <c r="X55" i="1"/>
  <c r="X52" i="1"/>
  <c r="V59" i="1"/>
  <c r="T53" i="1"/>
  <c r="P59" i="1"/>
  <c r="P56" i="1"/>
  <c r="T54" i="1"/>
  <c r="S53" i="1"/>
  <c r="S66" i="1" s="1"/>
  <c r="Z53" i="1"/>
  <c r="W52" i="1"/>
  <c r="C42" i="2" s="1"/>
  <c r="E42" i="2" s="1"/>
  <c r="Y57" i="1"/>
  <c r="T58" i="1"/>
  <c r="C40" i="2" s="1"/>
  <c r="E40" i="2" s="1"/>
  <c r="V55" i="1"/>
  <c r="C45" i="2" s="1"/>
  <c r="E45" i="2" s="1"/>
  <c r="X57" i="1"/>
  <c r="T59" i="1"/>
  <c r="W56" i="1"/>
  <c r="Z58" i="1"/>
  <c r="V52" i="1"/>
  <c r="R54" i="1"/>
  <c r="Y54" i="1"/>
  <c r="T55" i="1"/>
  <c r="Z55" i="1"/>
  <c r="W57" i="1"/>
  <c r="Z59" i="1"/>
  <c r="X58" i="1"/>
  <c r="R59" i="1"/>
  <c r="T52" i="1"/>
  <c r="P53" i="1"/>
  <c r="C27" i="2" s="1"/>
  <c r="E27" i="2" s="1"/>
  <c r="U58" i="1"/>
  <c r="P54" i="1"/>
  <c r="W58" i="1"/>
  <c r="Y55" i="1"/>
  <c r="Q58" i="1"/>
  <c r="AA54" i="1"/>
  <c r="A19" i="3" s="1"/>
  <c r="AA53" i="1"/>
  <c r="AA56" i="1"/>
  <c r="Q59" i="1"/>
  <c r="U52" i="1"/>
  <c r="T57" i="1"/>
  <c r="R55" i="1"/>
  <c r="R52" i="1"/>
  <c r="V54" i="1"/>
  <c r="S58" i="1"/>
  <c r="AA58" i="1"/>
  <c r="U53" i="1"/>
  <c r="W55" i="1"/>
  <c r="W59" i="1"/>
  <c r="C49" i="2" s="1"/>
  <c r="E49" i="2" s="1"/>
  <c r="Q53" i="1"/>
  <c r="U55" i="1"/>
  <c r="C37" i="2" s="1"/>
  <c r="E37" i="2" s="1"/>
  <c r="Y56" i="1"/>
  <c r="S57" i="1"/>
  <c r="S70" i="1" s="1"/>
  <c r="U54" i="1"/>
  <c r="C36" i="2" s="1"/>
  <c r="E36" i="2" s="1"/>
  <c r="R58" i="1"/>
  <c r="Q57" i="1"/>
  <c r="X56" i="1"/>
  <c r="Y53" i="1"/>
  <c r="X54" i="1"/>
  <c r="S55" i="1"/>
  <c r="Z54" i="1"/>
  <c r="R57" i="1"/>
  <c r="U59" i="1"/>
  <c r="U56" i="1"/>
  <c r="P55" i="1"/>
  <c r="P52" i="1"/>
  <c r="Q56" i="1"/>
  <c r="Q52" i="1"/>
  <c r="C26" i="2" s="1"/>
  <c r="E26" i="2" s="1"/>
  <c r="P58" i="1"/>
  <c r="V58" i="1"/>
  <c r="Q54" i="1"/>
  <c r="Y58" i="1"/>
  <c r="Z68" i="1"/>
  <c r="A20" i="3"/>
  <c r="Z72" i="1"/>
  <c r="A24" i="3"/>
  <c r="P71" i="1" l="1"/>
  <c r="P65" i="1"/>
  <c r="Z66" i="1"/>
  <c r="C47" i="2"/>
  <c r="E47" i="2" s="1"/>
  <c r="P67" i="1"/>
  <c r="C41" i="2"/>
  <c r="E41" i="2" s="1"/>
  <c r="V68" i="1"/>
  <c r="V72" i="1"/>
  <c r="Z67" i="1"/>
  <c r="Z70" i="1"/>
  <c r="C38" i="2"/>
  <c r="E38" i="2" s="1"/>
  <c r="P72" i="1"/>
  <c r="Z71" i="1"/>
  <c r="S65" i="1"/>
  <c r="P70" i="1"/>
  <c r="S72" i="1"/>
  <c r="V69" i="1"/>
  <c r="P69" i="1"/>
  <c r="C33" i="2"/>
  <c r="E33" i="2" s="1"/>
  <c r="C35" i="2"/>
  <c r="E35" i="2" s="1"/>
  <c r="V65" i="1"/>
  <c r="A26" i="3"/>
  <c r="Z69" i="1"/>
  <c r="C34" i="2"/>
  <c r="E34" i="2" s="1"/>
  <c r="C32" i="2"/>
  <c r="E32" i="2" s="1"/>
  <c r="A23" i="3"/>
  <c r="Y67" i="1"/>
  <c r="C44" i="2"/>
  <c r="E44" i="2" s="1"/>
  <c r="V70" i="1"/>
  <c r="C43" i="2"/>
  <c r="E43" i="2" s="1"/>
  <c r="A21" i="3"/>
  <c r="S71" i="1"/>
  <c r="C46" i="2"/>
  <c r="E46" i="2" s="1"/>
  <c r="S68" i="1"/>
  <c r="C39" i="2"/>
  <c r="E39" i="2" s="1"/>
  <c r="P68" i="1"/>
  <c r="P66" i="1"/>
  <c r="S67" i="1"/>
  <c r="A25" i="3"/>
  <c r="C28" i="2"/>
  <c r="E28" i="2" s="1"/>
  <c r="C30" i="2"/>
  <c r="E30" i="2" s="1"/>
  <c r="C31" i="2"/>
  <c r="E31" i="2" s="1"/>
  <c r="A18" i="3"/>
  <c r="A22" i="3"/>
  <c r="A17" i="3"/>
  <c r="Z65" i="1"/>
  <c r="V71" i="1"/>
  <c r="C48" i="2"/>
  <c r="E48" i="2" s="1"/>
  <c r="C29" i="2"/>
  <c r="E29" i="2" s="1"/>
  <c r="K45" i="1"/>
  <c r="K40" i="1"/>
  <c r="K39" i="1"/>
  <c r="B39" i="1"/>
  <c r="G44" i="2" l="1"/>
  <c r="I44" i="2" s="1"/>
  <c r="J44" i="2" s="1"/>
  <c r="K44" i="2" s="1"/>
  <c r="G41" i="2"/>
  <c r="I41" i="2" s="1"/>
  <c r="J41" i="2" s="1"/>
  <c r="K41" i="2" s="1"/>
  <c r="G36" i="2"/>
  <c r="I36" i="2" s="1"/>
  <c r="J36" i="2" s="1"/>
  <c r="K36" i="2" s="1"/>
  <c r="G30" i="2"/>
  <c r="I30" i="2" s="1"/>
  <c r="J30" i="2" s="1"/>
  <c r="K30" i="2" s="1"/>
  <c r="G43" i="2"/>
  <c r="I43" i="2" s="1"/>
  <c r="J43" i="2" s="1"/>
  <c r="K43" i="2" s="1"/>
  <c r="G46" i="2"/>
  <c r="I46" i="2" s="1"/>
  <c r="J46" i="2" s="1"/>
  <c r="K46" i="2" s="1"/>
  <c r="G32" i="2"/>
  <c r="I32" i="2" s="1"/>
  <c r="J32" i="2" s="1"/>
  <c r="K32" i="2" s="1"/>
  <c r="G37" i="2"/>
  <c r="I37" i="2" s="1"/>
  <c r="J37" i="2" s="1"/>
  <c r="K37" i="2" s="1"/>
  <c r="G42" i="2"/>
  <c r="I42" i="2" s="1"/>
  <c r="J42" i="2" s="1"/>
  <c r="K42" i="2" s="1"/>
  <c r="G45" i="2"/>
  <c r="I45" i="2" s="1"/>
  <c r="J45" i="2" s="1"/>
  <c r="K45" i="2" s="1"/>
  <c r="G40" i="2"/>
  <c r="I40" i="2" s="1"/>
  <c r="J40" i="2" s="1"/>
  <c r="K40" i="2" s="1"/>
  <c r="G33" i="2"/>
  <c r="I33" i="2" s="1"/>
  <c r="J33" i="2" s="1"/>
  <c r="K33" i="2" s="1"/>
  <c r="G31" i="2"/>
  <c r="I31" i="2" s="1"/>
  <c r="J31" i="2" s="1"/>
  <c r="K31" i="2" s="1"/>
  <c r="G49" i="2"/>
  <c r="I49" i="2" s="1"/>
  <c r="J49" i="2" s="1"/>
  <c r="K49" i="2" s="1"/>
  <c r="G47" i="2"/>
  <c r="I47" i="2" s="1"/>
  <c r="J47" i="2" s="1"/>
  <c r="K47" i="2" s="1"/>
  <c r="G27" i="2"/>
  <c r="I27" i="2" s="1"/>
  <c r="J27" i="2" s="1"/>
  <c r="K27" i="2" s="1"/>
  <c r="G39" i="2"/>
  <c r="I39" i="2" s="1"/>
  <c r="J39" i="2" s="1"/>
  <c r="K39" i="2" s="1"/>
  <c r="G38" i="2"/>
  <c r="I38" i="2" s="1"/>
  <c r="J38" i="2" s="1"/>
  <c r="K38" i="2" s="1"/>
  <c r="G28" i="2"/>
  <c r="I28" i="2" s="1"/>
  <c r="J28" i="2" s="1"/>
  <c r="K28" i="2" s="1"/>
  <c r="G26" i="2"/>
  <c r="I26" i="2" s="1"/>
  <c r="J26" i="2" s="1"/>
  <c r="K26" i="2" s="1"/>
  <c r="G35" i="2"/>
  <c r="I35" i="2" s="1"/>
  <c r="J35" i="2" s="1"/>
  <c r="K35" i="2" s="1"/>
  <c r="G34" i="2"/>
  <c r="I34" i="2" s="1"/>
  <c r="J34" i="2" s="1"/>
  <c r="K34" i="2" s="1"/>
  <c r="G48" i="2"/>
  <c r="I48" i="2" s="1"/>
  <c r="J48" i="2" s="1"/>
  <c r="K48" i="2" s="1"/>
  <c r="G29" i="2"/>
  <c r="I29" i="2" s="1"/>
  <c r="J29" i="2" s="1"/>
  <c r="K29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18" i="2"/>
  <c r="B18" i="2" s="1"/>
  <c r="A9" i="2"/>
  <c r="B9" i="2" s="1"/>
  <c r="A11" i="2"/>
  <c r="B11" i="2" s="1"/>
  <c r="A12" i="2"/>
  <c r="B12" i="2" s="1"/>
  <c r="A13" i="2"/>
  <c r="A14" i="2"/>
  <c r="B14" i="2" s="1"/>
  <c r="A15" i="2"/>
  <c r="B15" i="2" s="1"/>
  <c r="A16" i="2"/>
  <c r="B16" i="2" s="1"/>
  <c r="A17" i="2"/>
  <c r="B17" i="2" s="1"/>
  <c r="B19" i="4"/>
  <c r="B20" i="4"/>
  <c r="B21" i="4"/>
  <c r="B22" i="4"/>
  <c r="B23" i="4"/>
  <c r="B24" i="4"/>
  <c r="B25" i="4"/>
  <c r="B18" i="4"/>
  <c r="B11" i="4"/>
  <c r="B12" i="4"/>
  <c r="B14" i="4"/>
  <c r="B15" i="4"/>
  <c r="B16" i="4"/>
  <c r="B17" i="4"/>
  <c r="B10" i="4"/>
  <c r="B3" i="4"/>
  <c r="B4" i="4"/>
  <c r="B5" i="4"/>
  <c r="B6" i="4"/>
  <c r="B7" i="4"/>
  <c r="B8" i="4"/>
  <c r="B9" i="4"/>
  <c r="B2" i="4"/>
  <c r="D43" i="1"/>
  <c r="C39" i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10" i="2" l="1"/>
  <c r="B10" i="2" s="1"/>
  <c r="A3" i="2"/>
  <c r="B3" i="2" s="1"/>
  <c r="A4" i="2"/>
  <c r="B4" i="2" s="1"/>
  <c r="A5" i="2"/>
  <c r="B5" i="2" s="1"/>
  <c r="A6" i="2"/>
  <c r="B6" i="2" s="1"/>
  <c r="A7" i="2"/>
  <c r="B7" i="2" s="1"/>
  <c r="A8" i="2"/>
  <c r="B8" i="2" s="1"/>
  <c r="A2" i="2"/>
  <c r="B2" i="2" s="1"/>
  <c r="D39" i="1"/>
  <c r="E39" i="1"/>
  <c r="F39" i="1"/>
  <c r="G39" i="1"/>
  <c r="H39" i="1"/>
  <c r="I39" i="1"/>
  <c r="J39" i="1"/>
  <c r="L39" i="1"/>
  <c r="M39" i="1"/>
  <c r="C40" i="1"/>
  <c r="D40" i="1"/>
  <c r="E40" i="1"/>
  <c r="F40" i="1"/>
  <c r="G40" i="1"/>
  <c r="H40" i="1"/>
  <c r="I40" i="1"/>
  <c r="J40" i="1"/>
  <c r="L40" i="1"/>
  <c r="M40" i="1"/>
  <c r="C41" i="1"/>
  <c r="D41" i="1"/>
  <c r="F41" i="1"/>
  <c r="G41" i="1"/>
  <c r="H41" i="1"/>
  <c r="I41" i="1"/>
  <c r="K41" i="1"/>
  <c r="L41" i="1"/>
  <c r="M41" i="1"/>
  <c r="C42" i="1"/>
  <c r="D42" i="1"/>
  <c r="E42" i="1"/>
  <c r="F42" i="1"/>
  <c r="G42" i="1"/>
  <c r="H42" i="1"/>
  <c r="I42" i="1"/>
  <c r="J42" i="1"/>
  <c r="K42" i="1"/>
  <c r="L42" i="1"/>
  <c r="M42" i="1"/>
  <c r="E43" i="1"/>
  <c r="F43" i="1"/>
  <c r="G43" i="1"/>
  <c r="H43" i="1"/>
  <c r="I43" i="1"/>
  <c r="J43" i="1"/>
  <c r="K43" i="1"/>
  <c r="L43" i="1"/>
  <c r="M43" i="1"/>
  <c r="D44" i="1"/>
  <c r="E44" i="1"/>
  <c r="F44" i="1"/>
  <c r="G44" i="1"/>
  <c r="H44" i="1"/>
  <c r="I44" i="1"/>
  <c r="L44" i="1"/>
  <c r="M44" i="1"/>
  <c r="C45" i="1"/>
  <c r="D45" i="1"/>
  <c r="E45" i="1"/>
  <c r="F45" i="1"/>
  <c r="G45" i="1"/>
  <c r="H45" i="1"/>
  <c r="I45" i="1"/>
  <c r="J45" i="1"/>
  <c r="L45" i="1"/>
  <c r="M45" i="1"/>
  <c r="C46" i="1"/>
  <c r="D46" i="1"/>
  <c r="E46" i="1"/>
  <c r="F46" i="1"/>
  <c r="H46" i="1"/>
  <c r="I46" i="1"/>
  <c r="J46" i="1"/>
  <c r="K46" i="1"/>
  <c r="L46" i="1"/>
  <c r="M46" i="1"/>
  <c r="B40" i="1"/>
  <c r="B41" i="1"/>
  <c r="B42" i="1"/>
  <c r="B43" i="1"/>
  <c r="B44" i="1"/>
  <c r="B45" i="1"/>
  <c r="B46" i="1"/>
  <c r="K47" i="1" l="1"/>
  <c r="C55" i="1" s="1"/>
  <c r="I55" i="1" l="1"/>
  <c r="H53" i="1"/>
  <c r="B57" i="1"/>
  <c r="K54" i="1"/>
  <c r="B54" i="1"/>
  <c r="B56" i="1"/>
  <c r="B58" i="1"/>
  <c r="D57" i="1"/>
  <c r="I57" i="1"/>
  <c r="C53" i="1"/>
  <c r="G56" i="1"/>
  <c r="G53" i="1"/>
  <c r="H55" i="1"/>
  <c r="M52" i="1"/>
  <c r="J59" i="1"/>
  <c r="H59" i="1"/>
  <c r="C25" i="2" s="1"/>
  <c r="E25" i="2" s="1"/>
  <c r="G25" i="2" s="1"/>
  <c r="I25" i="2" s="1"/>
  <c r="J25" i="2" s="1"/>
  <c r="K25" i="2" s="1"/>
  <c r="G55" i="1"/>
  <c r="F58" i="1"/>
  <c r="C21" i="2"/>
  <c r="E21" i="2" s="1"/>
  <c r="G21" i="2" s="1"/>
  <c r="I21" i="2" s="1"/>
  <c r="J21" i="2" s="1"/>
  <c r="K21" i="2" s="1"/>
  <c r="L54" i="1"/>
  <c r="J53" i="1"/>
  <c r="E55" i="1"/>
  <c r="E56" i="1"/>
  <c r="M57" i="1"/>
  <c r="K56" i="1"/>
  <c r="D55" i="1"/>
  <c r="F53" i="1"/>
  <c r="I53" i="1"/>
  <c r="J55" i="1"/>
  <c r="D54" i="1"/>
  <c r="B67" i="1" s="1"/>
  <c r="M59" i="1"/>
  <c r="H56" i="1"/>
  <c r="L55" i="1"/>
  <c r="L68" i="1" s="1"/>
  <c r="B53" i="1"/>
  <c r="G54" i="1"/>
  <c r="D58" i="1"/>
  <c r="C58" i="1"/>
  <c r="L52" i="1"/>
  <c r="J52" i="1"/>
  <c r="M54" i="1"/>
  <c r="B59" i="1"/>
  <c r="I54" i="1"/>
  <c r="M56" i="1"/>
  <c r="L57" i="1"/>
  <c r="L70" i="1" s="1"/>
  <c r="E53" i="1"/>
  <c r="G58" i="1"/>
  <c r="L53" i="1"/>
  <c r="E52" i="1"/>
  <c r="C59" i="1"/>
  <c r="D53" i="1"/>
  <c r="J58" i="1"/>
  <c r="D52" i="1"/>
  <c r="H52" i="1"/>
  <c r="H58" i="1"/>
  <c r="G52" i="1"/>
  <c r="C10" i="2" s="1"/>
  <c r="E10" i="2" s="1"/>
  <c r="G10" i="2" s="1"/>
  <c r="I10" i="2" s="1"/>
  <c r="J10" i="2" s="1"/>
  <c r="K10" i="2" s="1"/>
  <c r="K59" i="1"/>
  <c r="L58" i="1"/>
  <c r="L71" i="1" s="1"/>
  <c r="L56" i="1"/>
  <c r="H57" i="1"/>
  <c r="C23" i="2" s="1"/>
  <c r="E23" i="2" s="1"/>
  <c r="G23" i="2" s="1"/>
  <c r="I23" i="2" s="1"/>
  <c r="J23" i="2" s="1"/>
  <c r="K23" i="2" s="1"/>
  <c r="L59" i="1"/>
  <c r="M55" i="1"/>
  <c r="G57" i="1"/>
  <c r="I59" i="1"/>
  <c r="M53" i="1"/>
  <c r="K55" i="1"/>
  <c r="E57" i="1"/>
  <c r="F56" i="1"/>
  <c r="J54" i="1"/>
  <c r="G59" i="1"/>
  <c r="K57" i="1"/>
  <c r="E54" i="1"/>
  <c r="C56" i="1"/>
  <c r="J57" i="1"/>
  <c r="B52" i="1"/>
  <c r="K53" i="1"/>
  <c r="K67" i="1" s="1"/>
  <c r="K58" i="1"/>
  <c r="K52" i="1"/>
  <c r="K65" i="1" s="1"/>
  <c r="C52" i="1"/>
  <c r="D56" i="1"/>
  <c r="B69" i="1" s="1"/>
  <c r="B55" i="1"/>
  <c r="B68" i="1" s="1"/>
  <c r="I56" i="1"/>
  <c r="I52" i="1"/>
  <c r="I58" i="1"/>
  <c r="C54" i="1"/>
  <c r="D59" i="1"/>
  <c r="E58" i="1"/>
  <c r="F59" i="1"/>
  <c r="F52" i="1"/>
  <c r="F55" i="1"/>
  <c r="H54" i="1"/>
  <c r="C57" i="1"/>
  <c r="C7" i="2" s="1"/>
  <c r="E7" i="2" s="1"/>
  <c r="G7" i="2" s="1"/>
  <c r="I7" i="2" s="1"/>
  <c r="J7" i="2" s="1"/>
  <c r="K7" i="2" s="1"/>
  <c r="F57" i="1"/>
  <c r="C15" i="2" s="1"/>
  <c r="E15" i="2" s="1"/>
  <c r="G15" i="2" s="1"/>
  <c r="I15" i="2" s="1"/>
  <c r="J15" i="2" s="1"/>
  <c r="K15" i="2" s="1"/>
  <c r="F54" i="1"/>
  <c r="J56" i="1"/>
  <c r="E59" i="1"/>
  <c r="M58" i="1"/>
  <c r="C17" i="2"/>
  <c r="E17" i="2" s="1"/>
  <c r="G17" i="2" s="1"/>
  <c r="I17" i="2" s="1"/>
  <c r="E72" i="1"/>
  <c r="A4" i="3"/>
  <c r="L66" i="1"/>
  <c r="C2" i="2" l="1"/>
  <c r="A6" i="3"/>
  <c r="B72" i="1"/>
  <c r="C19" i="2"/>
  <c r="E19" i="2" s="1"/>
  <c r="G19" i="2" s="1"/>
  <c r="I19" i="2" s="1"/>
  <c r="J19" i="2" s="1"/>
  <c r="K19" i="2" s="1"/>
  <c r="C12" i="2"/>
  <c r="E12" i="2" s="1"/>
  <c r="G12" i="2" s="1"/>
  <c r="I12" i="2" s="1"/>
  <c r="J12" i="2" s="1"/>
  <c r="K12" i="2" s="1"/>
  <c r="E65" i="1"/>
  <c r="A8" i="3"/>
  <c r="J17" i="2"/>
  <c r="K17" i="2" s="1"/>
  <c r="C9" i="2"/>
  <c r="G9" i="2" s="1"/>
  <c r="I9" i="2" s="1"/>
  <c r="J9" i="2" s="1"/>
  <c r="K9" i="2" s="1"/>
  <c r="C11" i="2"/>
  <c r="E11" i="2" s="1"/>
  <c r="G11" i="2" s="1"/>
  <c r="I11" i="2" s="1"/>
  <c r="J11" i="2" s="1"/>
  <c r="K11" i="2" s="1"/>
  <c r="E67" i="1"/>
  <c r="C4" i="2"/>
  <c r="E4" i="2" s="1"/>
  <c r="G4" i="2" s="1"/>
  <c r="I4" i="2" s="1"/>
  <c r="J4" i="2" s="1"/>
  <c r="K4" i="2" s="1"/>
  <c r="B70" i="1"/>
  <c r="C13" i="2"/>
  <c r="E13" i="2" s="1"/>
  <c r="G13" i="2" s="1"/>
  <c r="I13" i="2" s="1"/>
  <c r="J13" i="2" s="1"/>
  <c r="K13" i="2" s="1"/>
  <c r="C14" i="2"/>
  <c r="E14" i="2" s="1"/>
  <c r="G14" i="2" s="1"/>
  <c r="I14" i="2" s="1"/>
  <c r="J14" i="2" s="1"/>
  <c r="K14" i="2" s="1"/>
  <c r="E69" i="1"/>
  <c r="E68" i="1"/>
  <c r="A3" i="3"/>
  <c r="L65" i="1"/>
  <c r="H68" i="1"/>
  <c r="C3" i="2"/>
  <c r="E3" i="2" s="1"/>
  <c r="G3" i="2" s="1"/>
  <c r="I3" i="2" s="1"/>
  <c r="J3" i="2" s="1"/>
  <c r="K3" i="2" s="1"/>
  <c r="B66" i="1"/>
  <c r="C8" i="2"/>
  <c r="G8" i="2" s="1"/>
  <c r="I8" i="2" s="1"/>
  <c r="J8" i="2" s="1"/>
  <c r="K8" i="2" s="1"/>
  <c r="B71" i="1"/>
  <c r="A7" i="3"/>
  <c r="C24" i="2"/>
  <c r="E24" i="2" s="1"/>
  <c r="G24" i="2" s="1"/>
  <c r="I24" i="2" s="1"/>
  <c r="J24" i="2" s="1"/>
  <c r="K24" i="2" s="1"/>
  <c r="H71" i="1"/>
  <c r="C22" i="2"/>
  <c r="E22" i="2" s="1"/>
  <c r="G22" i="2" s="1"/>
  <c r="I22" i="2" s="1"/>
  <c r="J22" i="2" s="1"/>
  <c r="K22" i="2" s="1"/>
  <c r="H69" i="1"/>
  <c r="H67" i="1"/>
  <c r="C20" i="2"/>
  <c r="E20" i="2" s="1"/>
  <c r="G20" i="2" s="1"/>
  <c r="I20" i="2" s="1"/>
  <c r="J20" i="2" s="1"/>
  <c r="K20" i="2" s="1"/>
  <c r="C5" i="2"/>
  <c r="E5" i="2" s="1"/>
  <c r="G5" i="2" s="1"/>
  <c r="I5" i="2" s="1"/>
  <c r="J5" i="2" s="1"/>
  <c r="K5" i="2" s="1"/>
  <c r="L69" i="1"/>
  <c r="H72" i="1"/>
  <c r="E70" i="1"/>
  <c r="C6" i="2"/>
  <c r="E6" i="2" s="1"/>
  <c r="G6" i="2" s="1"/>
  <c r="I6" i="2" s="1"/>
  <c r="J6" i="2" s="1"/>
  <c r="K6" i="2" s="1"/>
  <c r="L72" i="1"/>
  <c r="A10" i="3"/>
  <c r="C18" i="2"/>
  <c r="E18" i="2" s="1"/>
  <c r="G18" i="2" s="1"/>
  <c r="I18" i="2" s="1"/>
  <c r="K18" i="2" s="1"/>
  <c r="H65" i="1"/>
  <c r="H66" i="1"/>
  <c r="H70" i="1"/>
  <c r="E66" i="1"/>
  <c r="L67" i="1"/>
  <c r="A5" i="3"/>
  <c r="B65" i="1"/>
  <c r="A9" i="3"/>
  <c r="E71" i="1"/>
  <c r="C16" i="2"/>
  <c r="E16" i="2" s="1"/>
  <c r="G16" i="2" s="1"/>
  <c r="I16" i="2" s="1"/>
  <c r="J16" i="2" s="1"/>
  <c r="K16" i="2" s="1"/>
  <c r="E2" i="2"/>
  <c r="G2" i="2" s="1"/>
  <c r="I2" i="2" l="1"/>
  <c r="J2" i="2" s="1"/>
  <c r="K2" i="2" s="1"/>
</calcChain>
</file>

<file path=xl/sharedStrings.xml><?xml version="1.0" encoding="utf-8"?>
<sst xmlns="http://schemas.openxmlformats.org/spreadsheetml/2006/main" count="329" uniqueCount="110">
  <si>
    <t>A</t>
  </si>
  <si>
    <t>B</t>
  </si>
  <si>
    <t>C</t>
  </si>
  <si>
    <t>D</t>
  </si>
  <si>
    <t>E</t>
  </si>
  <si>
    <t>F</t>
  </si>
  <si>
    <t>G</t>
  </si>
  <si>
    <t>H</t>
  </si>
  <si>
    <t>ABSORBANCE 450nm</t>
  </si>
  <si>
    <t>ABSORBANCE 620nm</t>
  </si>
  <si>
    <t>ABSORBANCE CORRIGEE</t>
  </si>
  <si>
    <t>PLAN DE PLAQUE</t>
  </si>
  <si>
    <t>numero_centre</t>
  </si>
  <si>
    <t>abs_moyenne</t>
  </si>
  <si>
    <t>absorbance_moyenne</t>
  </si>
  <si>
    <t>equation</t>
  </si>
  <si>
    <t>quantif_ng.mL-1</t>
  </si>
  <si>
    <t>facteur de dilution</t>
  </si>
  <si>
    <t>quantif_corr_ng.mL-1</t>
  </si>
  <si>
    <t>ng.µL</t>
  </si>
  <si>
    <t>tube</t>
  </si>
  <si>
    <t>poids_tube_(g)</t>
  </si>
  <si>
    <t>poids_tube_et_crotte_(g)</t>
  </si>
  <si>
    <t>poids_réel_crotte_(g)</t>
  </si>
  <si>
    <t>µg</t>
  </si>
  <si>
    <t>corrigpoids_µg.g</t>
  </si>
  <si>
    <t>code_echantillon</t>
  </si>
  <si>
    <t>concentration_ng.mL-1</t>
  </si>
  <si>
    <t>NEG ELISA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</si>
  <si>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</si>
  <si>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</si>
  <si>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</si>
  <si>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</si>
  <si>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</si>
  <si>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</si>
  <si>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</si>
  <si>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</si>
  <si>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</si>
  <si>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</si>
  <si>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S8 bis</t>
  </si>
  <si>
    <t>S1bis</t>
  </si>
  <si>
    <t>S2bis</t>
  </si>
  <si>
    <t>S9bis</t>
  </si>
  <si>
    <t>S3bis</t>
  </si>
  <si>
    <t>S10bis</t>
  </si>
  <si>
    <t>S4bis</t>
  </si>
  <si>
    <t>S5bis</t>
  </si>
  <si>
    <t>S6bis</t>
  </si>
  <si>
    <t>S7bis</t>
  </si>
  <si>
    <t>ABSORBANCE CORRIGEE AVEC NEGATIF</t>
  </si>
  <si>
    <t>plaque</t>
  </si>
  <si>
    <t>corrigpoids_ng.g</t>
  </si>
  <si>
    <t>ECART TYPE</t>
  </si>
  <si>
    <t>PLAQUE 4</t>
  </si>
  <si>
    <t>PLAQUE 7</t>
  </si>
  <si>
    <t>NCHA100167_FA-1</t>
  </si>
  <si>
    <t>NCHA100175_FA-1</t>
  </si>
  <si>
    <t>NCHA100183_FA-1</t>
  </si>
  <si>
    <t>NCHA100168_FA-1</t>
  </si>
  <si>
    <t>NCHA100176_FA-1</t>
  </si>
  <si>
    <t>NCHA100184_FA-1</t>
  </si>
  <si>
    <t>NCHA100169_FA-1</t>
  </si>
  <si>
    <t>NCHA100177_FA-1</t>
  </si>
  <si>
    <t>NCHA100185_FA-1</t>
  </si>
  <si>
    <t>NCHA100170_FA-1</t>
  </si>
  <si>
    <t>NCHA100178_FA-1</t>
  </si>
  <si>
    <t>NCHA100186_FA-1</t>
  </si>
  <si>
    <t>NCHA100171_FA-1</t>
  </si>
  <si>
    <t>NCHA100179_FA-1</t>
  </si>
  <si>
    <t>NCHA100187_FA-1</t>
  </si>
  <si>
    <t>NCHA100172_FA-1</t>
  </si>
  <si>
    <t>NCHA100180_FA-1</t>
  </si>
  <si>
    <t>NCHA100188_FA-1</t>
  </si>
  <si>
    <t>NCHA100173_FA-1</t>
  </si>
  <si>
    <t>NCHA100181_FA-1</t>
  </si>
  <si>
    <t>NCHA100189_FA-1</t>
  </si>
  <si>
    <t>NCHA100174_FA-1</t>
  </si>
  <si>
    <t>NCHA100182_FA-1</t>
  </si>
  <si>
    <t>NCHA100190_FA-1</t>
  </si>
  <si>
    <t>NCHA100239_FA-1</t>
  </si>
  <si>
    <t>NCHA100247_FA-1</t>
  </si>
  <si>
    <t>NCHA100255_FA-1</t>
  </si>
  <si>
    <t>NCHA100240_FA-1</t>
  </si>
  <si>
    <t>NCHA100248_FA-1</t>
  </si>
  <si>
    <t>NCHA100256_FA-1</t>
  </si>
  <si>
    <t>NCHA100241_FA-1</t>
  </si>
  <si>
    <t>NCHA100249_FA-1</t>
  </si>
  <si>
    <t>NCHA100257_FA-1</t>
  </si>
  <si>
    <t>NCHA100242_FA-1</t>
  </si>
  <si>
    <t>NCHA100250_FA-1</t>
  </si>
  <si>
    <t>NCHA100258_FA-1</t>
  </si>
  <si>
    <t>NCHA100243_FA-1</t>
  </si>
  <si>
    <t>NCHA100251_FA-1</t>
  </si>
  <si>
    <t>NCHA100259_FA-1</t>
  </si>
  <si>
    <t>NCHA100244_FA-1</t>
  </si>
  <si>
    <t>NCHA100252_FA-1</t>
  </si>
  <si>
    <t>NCHA100260_FA-1</t>
  </si>
  <si>
    <t>NCHA100245_FA-1</t>
  </si>
  <si>
    <t>NCHA100253_FA-1</t>
  </si>
  <si>
    <t>NCHA100261_FA-1</t>
  </si>
  <si>
    <t>NCHA100246_FA-1</t>
  </si>
  <si>
    <t>NCHA100254_FA-1</t>
  </si>
  <si>
    <t>NCHA100262_FA-1</t>
  </si>
  <si>
    <t>Peu de surnagent</t>
  </si>
  <si>
    <t>Supression des points S9 et S10 car trop bizarre</t>
  </si>
  <si>
    <t>Non colorés en bleu à la révélation</t>
  </si>
  <si>
    <t>volume-crotte_µL</t>
  </si>
  <si>
    <t>Vf</t>
  </si>
  <si>
    <t>facteur_dilution_elution</t>
  </si>
  <si>
    <t>facteur_dilution_final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</si>
</sst>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color indexed="64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81F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/>
  </cellStyleXfs>
  <cellXfs count="110">
    <xf numFmtId="0" fontId="0" fillId="0" borderId="0" xfId="0"/>
    <xf numFmtId="0" fontId="1" fillId="0" borderId="0" xfId="0" applyFont="1"/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5" borderId="0" xfId="0" applyFill="1"/>
    <xf numFmtId="0" fontId="0" fillId="6" borderId="0" xfId="0" applyFill="1"/>
    <xf numFmtId="165" fontId="0" fillId="0" borderId="0" xfId="0" applyNumberFormat="1"/>
    <xf numFmtId="0" fontId="0" fillId="7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8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64" fontId="0" fillId="0" borderId="0" xfId="0" applyNumberFormat="1"/>
    <xf numFmtId="0" fontId="2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/>
    <xf numFmtId="0" fontId="0" fillId="13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166" fontId="0" fillId="13" borderId="1" xfId="0" applyNumberFormat="1" applyFill="1" applyBorder="1" applyAlignment="1">
      <alignment horizontal="center" vertical="center"/>
    </xf>
    <xf numFmtId="0" fontId="1" fillId="0" borderId="1" xfId="0" applyFont="1" applyBorder="1"/>
    <xf numFmtId="0" fontId="1" fillId="8" borderId="3" xfId="0" applyFont="1" applyFill="1" applyBorder="1" applyAlignment="1">
      <alignment horizontal="center" vertical="center"/>
    </xf>
    <xf numFmtId="165" fontId="0" fillId="0" borderId="0" xfId="0" applyNumberFormat="1" applyFill="1"/>
    <xf numFmtId="0" fontId="0" fillId="0" borderId="2" xfId="0" applyFill="1" applyBorder="1" applyAlignment="1">
      <alignment horizontal="center" vertical="center"/>
    </xf>
    <xf numFmtId="166" fontId="0" fillId="15" borderId="1" xfId="0" applyNumberFormat="1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166" fontId="0" fillId="13" borderId="1" xfId="0" applyNumberFormat="1" applyFill="1" applyBorder="1" applyAlignment="1">
      <alignment horizont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164" fontId="0" fillId="0" borderId="4" xfId="0" applyNumberFormat="1" applyBorder="1"/>
    <xf numFmtId="0" fontId="0" fillId="0" borderId="4" xfId="0" applyBorder="1"/>
    <xf numFmtId="164" fontId="0" fillId="0" borderId="0" xfId="0" applyNumberFormat="1" applyBorder="1"/>
    <xf numFmtId="0" fontId="0" fillId="0" borderId="0" xfId="0" applyBorder="1"/>
    <xf numFmtId="0" fontId="0" fillId="0" borderId="4" xfId="0" applyFill="1" applyBorder="1"/>
    <xf numFmtId="165" fontId="0" fillId="0" borderId="4" xfId="0" applyNumberFormat="1" applyBorder="1"/>
    <xf numFmtId="0" fontId="0" fillId="0" borderId="0" xfId="0" applyFont="1" applyBorder="1" applyAlignment="1">
      <alignment horizontal="left" vertical="center"/>
    </xf>
    <xf numFmtId="0" fontId="0" fillId="0" borderId="0" xfId="0" applyFont="1"/>
    <xf numFmtId="165" fontId="0" fillId="0" borderId="0" xfId="0" applyNumberFormat="1" applyBorder="1"/>
    <xf numFmtId="0" fontId="0" fillId="0" borderId="5" xfId="0" applyBorder="1"/>
    <xf numFmtId="164" fontId="0" fillId="0" borderId="0" xfId="0" applyNumberFormat="1" applyFill="1"/>
    <xf numFmtId="0" fontId="0" fillId="3" borderId="1" xfId="0" applyFill="1" applyBorder="1"/>
    <xf numFmtId="166" fontId="0" fillId="3" borderId="1" xfId="0" applyNumberFormat="1" applyFill="1" applyBorder="1" applyAlignment="1">
      <alignment horizontal="center"/>
    </xf>
    <xf numFmtId="0" fontId="0" fillId="3" borderId="1" xfId="0" applyNumberFormat="1" applyFill="1" applyBorder="1"/>
    <xf numFmtId="0" fontId="0" fillId="14" borderId="1" xfId="0" applyFill="1" applyBorder="1"/>
    <xf numFmtId="0" fontId="0" fillId="13" borderId="1" xfId="0" applyFill="1" applyBorder="1"/>
    <xf numFmtId="166" fontId="0" fillId="2" borderId="1" xfId="0" applyNumberFormat="1" applyFill="1" applyBorder="1" applyAlignment="1">
      <alignment horizontal="center"/>
    </xf>
    <xf numFmtId="0" fontId="2" fillId="17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0" fillId="10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166" fontId="0" fillId="10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16" borderId="0" xfId="0" applyNumberFormat="1" applyFill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164" fontId="0" fillId="13" borderId="1" xfId="0" applyNumberForma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164" fontId="0" fillId="14" borderId="0" xfId="0" applyNumberFormat="1" applyFill="1" applyBorder="1" applyAlignment="1">
      <alignment horizontal="center" vertical="center"/>
    </xf>
    <xf numFmtId="164" fontId="0" fillId="14" borderId="0" xfId="0" applyNumberForma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4" borderId="1" xfId="0" applyFill="1" applyBorder="1"/>
    <xf numFmtId="0" fontId="0" fillId="2" borderId="1" xfId="0" applyFill="1" applyBorder="1"/>
    <xf numFmtId="164" fontId="0" fillId="16" borderId="0" xfId="0" applyNumberFormat="1" applyFill="1"/>
    <xf numFmtId="0" fontId="0" fillId="10" borderId="1" xfId="0" applyFill="1" applyBorder="1"/>
    <xf numFmtId="0" fontId="0" fillId="18" borderId="1" xfId="0" applyFill="1" applyBorder="1"/>
    <xf numFmtId="166" fontId="0" fillId="18" borderId="1" xfId="0" applyNumberForma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164" fontId="0" fillId="18" borderId="1" xfId="0" applyNumberForma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18" borderId="0" xfId="0" applyFont="1" applyFill="1" applyAlignment="1">
      <alignment horizontal="left" vertical="center"/>
    </xf>
    <xf numFmtId="164" fontId="0" fillId="18" borderId="0" xfId="0" applyNumberFormat="1" applyFill="1" applyBorder="1" applyAlignment="1">
      <alignment horizontal="center" vertical="center"/>
    </xf>
    <xf numFmtId="164" fontId="0" fillId="18" borderId="0" xfId="0" applyNumberFormat="1" applyFill="1"/>
    <xf numFmtId="0" fontId="0" fillId="18" borderId="0" xfId="0" applyFill="1"/>
    <xf numFmtId="165" fontId="0" fillId="18" borderId="0" xfId="0" applyNumberFormat="1" applyFill="1"/>
    <xf numFmtId="0" fontId="1" fillId="8" borderId="6" xfId="0" applyFont="1" applyFill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Fill="1"/>
    <xf numFmtId="2" fontId="0" fillId="0" borderId="4" xfId="0" applyNumberFormat="1" applyBorder="1"/>
    <xf numFmtId="0" fontId="0" fillId="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0" fontId="3" fillId="12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</cellXfs>
  <cellStyles count="2">
    <cellStyle name="Normal" xfId="0" builtinId="0"/>
    <cellStyle name="Normal 5" xfId="1"/>
  </cellStyles>
  <dxfs count="0"/>
  <tableStyles count="0" defaultTableStyle="TableStyleMedium2" defaultPivotStyle="PivotStyleLight16"/>
  <colors>
    <mruColors>
      <color rgb="FFFF81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courbe_etalon!$B$2</c:f>
              <c:strCache>
                <c:ptCount val="1"/>
                <c:pt idx="0">
                  <c:v>concentration_ng.mL-1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1490944881889764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courbe_etalon!$A$3:$A$10</c:f>
              <c:numCache>
                <c:formatCode>General</c:formatCode>
                <c:ptCount val="8"/>
                <c:pt idx="0">
                  <c:v>0.68699999999999994</c:v>
                </c:pt>
                <c:pt idx="1">
                  <c:v>0.60749999999999993</c:v>
                </c:pt>
                <c:pt idx="2">
                  <c:v>0.50849999999999995</c:v>
                </c:pt>
                <c:pt idx="3">
                  <c:v>0.39850000000000002</c:v>
                </c:pt>
                <c:pt idx="4">
                  <c:v>0.222</c:v>
                </c:pt>
                <c:pt idx="5">
                  <c:v>0.13850000000000001</c:v>
                </c:pt>
                <c:pt idx="6">
                  <c:v>7.2999999999999995E-2</c:v>
                </c:pt>
                <c:pt idx="7">
                  <c:v>3.0500000000000006E-2</c:v>
                </c:pt>
              </c:numCache>
            </c:numRef>
          </c:xVal>
          <c:yVal>
            <c:numRef>
              <c:f>courbe_etalon!$B$3:$B$10</c:f>
              <c:numCache>
                <c:formatCode>General</c:formatCode>
                <c:ptCount val="8"/>
                <c:pt idx="0">
                  <c:v>25</c:v>
                </c:pt>
                <c:pt idx="1">
                  <c:v>12.5</c:v>
                </c:pt>
                <c:pt idx="2">
                  <c:v>6.25</c:v>
                </c:pt>
                <c:pt idx="3">
                  <c:v>3.125</c:v>
                </c:pt>
                <c:pt idx="4">
                  <c:v>1.56</c:v>
                </c:pt>
                <c:pt idx="5">
                  <c:v>0.78</c:v>
                </c:pt>
                <c:pt idx="6">
                  <c:v>0.39</c:v>
                </c:pt>
                <c:pt idx="7">
                  <c:v>0.19500000000000001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D8-494A-BA34-8AA376CDF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232576"/>
        <c:axId val="1661223008"/>
      </c:scatterChart>
      <c:valAx>
        <c:axId val="166123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1223008"/>
        <c:crosses val="autoZero"/>
        <c:crossBetween val="midCat"/>
      </c:valAx>
      <c:valAx>
        <c:axId val="16612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123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courbe_etalon!$B$16</c:f>
              <c:strCache>
                <c:ptCount val="1"/>
                <c:pt idx="0">
                  <c:v>concentration_ng.mL-1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courbe_etalon!$A$17:$A$26</c:f>
              <c:numCache>
                <c:formatCode>General</c:formatCode>
                <c:ptCount val="10"/>
                <c:pt idx="0">
                  <c:v>0.77249999999999996</c:v>
                </c:pt>
                <c:pt idx="1">
                  <c:v>0.65149999999999997</c:v>
                </c:pt>
                <c:pt idx="2">
                  <c:v>0.51449999999999996</c:v>
                </c:pt>
                <c:pt idx="3">
                  <c:v>0.39850000000000002</c:v>
                </c:pt>
                <c:pt idx="4">
                  <c:v>0.22900000000000001</c:v>
                </c:pt>
                <c:pt idx="5">
                  <c:v>0.14949999999999999</c:v>
                </c:pt>
                <c:pt idx="6">
                  <c:v>6.9500000000000006E-2</c:v>
                </c:pt>
                <c:pt idx="7">
                  <c:v>0.04</c:v>
                </c:pt>
                <c:pt idx="8">
                  <c:v>1.7499999999999998E-2</c:v>
                </c:pt>
                <c:pt idx="9">
                  <c:v>7.5000000000000032E-3</c:v>
                </c:pt>
              </c:numCache>
            </c:numRef>
          </c:xVal>
          <c:yVal>
            <c:numRef>
              <c:f>courbe_etalon!$B$17:$B$26</c:f>
              <c:numCache>
                <c:formatCode>General</c:formatCode>
                <c:ptCount val="10"/>
                <c:pt idx="0">
                  <c:v>25</c:v>
                </c:pt>
                <c:pt idx="1">
                  <c:v>12.5</c:v>
                </c:pt>
                <c:pt idx="2">
                  <c:v>6.25</c:v>
                </c:pt>
                <c:pt idx="3">
                  <c:v>3.125</c:v>
                </c:pt>
                <c:pt idx="4">
                  <c:v>1.56</c:v>
                </c:pt>
                <c:pt idx="5">
                  <c:v>0.78</c:v>
                </c:pt>
                <c:pt idx="6">
                  <c:v>0.39</c:v>
                </c:pt>
                <c:pt idx="7">
                  <c:v>0.19500000000000001</c:v>
                </c:pt>
                <c:pt idx="8">
                  <c:v>9.7500000000000003E-2</c:v>
                </c:pt>
                <c:pt idx="9">
                  <c:v>4.8750000000000002E-2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1-49C1-9A67-2501DAF60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430208"/>
        <c:axId val="1595431040"/>
      </c:scatterChart>
      <c:valAx>
        <c:axId val="15954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5431040"/>
        <c:crosses val="autoZero"/>
        <c:crossBetween val="midCat"/>
      </c:valAx>
      <c:valAx>
        <c:axId val="159543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543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176212</xdr:colOff>
      <xdr:row>1</xdr:row>
      <xdr:rowOff>28575</xdr:rowOff>
    </xdr:from>
    <xdr:to>
      <xdr:col>11</xdr:col>
      <xdr:colOff>366712</xdr:colOff>
      <xdr:row>11</xdr:row>
      <xdr:rowOff>66675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200025</xdr:colOff>
      <xdr:row>14</xdr:row>
      <xdr:rowOff>104775</xdr:rowOff>
    </xdr:from>
    <xdr:to>
      <xdr:col>11</xdr:col>
      <xdr:colOff>685800</xdr:colOff>
      <xdr:row>25</xdr:row>
      <xdr:rowOff>129540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2"/>
  <sheetViews>
    <sheetView zoomScale="70" zoomScaleNormal="70" workbookViewId="0">
      <selection activeCell="A14" sqref="A14"/>
    </sheetView>
  </sheetViews>
  <sheetFormatPr baseColWidth="10" defaultRowHeight="15" x14ac:dyDescent="0.25"/>
  <cols>
    <col min="1" max="35" width="16.7109375" customWidth="1"/>
  </cols>
  <sheetData>
    <row r="1" spans="1:27" ht="15.75" x14ac:dyDescent="0.25">
      <c r="A1" s="108" t="s">
        <v>53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O1" s="108" t="s">
        <v>54</v>
      </c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</row>
    <row r="3" spans="1:27" x14ac:dyDescent="0.25">
      <c r="A3" s="22" t="s">
        <v>11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O3" s="22" t="s">
        <v>11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9"/>
      <c r="B4" s="10">
        <v>1</v>
      </c>
      <c r="C4" s="10">
        <v>2</v>
      </c>
      <c r="D4" s="10">
        <v>3</v>
      </c>
      <c r="E4" s="11">
        <v>4</v>
      </c>
      <c r="F4" s="11">
        <v>5</v>
      </c>
      <c r="G4" s="11">
        <v>6</v>
      </c>
      <c r="H4" s="10">
        <v>7</v>
      </c>
      <c r="I4" s="10">
        <v>8</v>
      </c>
      <c r="J4" s="10">
        <v>9</v>
      </c>
      <c r="K4" s="12">
        <v>10</v>
      </c>
      <c r="L4" s="12">
        <v>11</v>
      </c>
      <c r="M4" s="12">
        <v>12</v>
      </c>
      <c r="O4" s="9"/>
      <c r="P4" s="10">
        <v>1</v>
      </c>
      <c r="Q4" s="10">
        <v>2</v>
      </c>
      <c r="R4" s="10">
        <v>3</v>
      </c>
      <c r="S4" s="11">
        <v>4</v>
      </c>
      <c r="T4" s="11">
        <v>5</v>
      </c>
      <c r="U4" s="11">
        <v>6</v>
      </c>
      <c r="V4" s="10">
        <v>7</v>
      </c>
      <c r="W4" s="10">
        <v>8</v>
      </c>
      <c r="X4" s="10">
        <v>9</v>
      </c>
      <c r="Y4" s="12">
        <v>10</v>
      </c>
      <c r="Z4" s="12">
        <v>11</v>
      </c>
      <c r="AA4" s="12">
        <v>12</v>
      </c>
    </row>
    <row r="5" spans="1:27" x14ac:dyDescent="0.25">
      <c r="A5" s="9" t="s">
        <v>0</v>
      </c>
      <c r="B5" s="10" t="s">
        <v>55</v>
      </c>
      <c r="C5" s="10" t="s">
        <v>55</v>
      </c>
      <c r="D5" s="10" t="s">
        <v>55</v>
      </c>
      <c r="E5" s="19" t="s">
        <v>56</v>
      </c>
      <c r="F5" s="19" t="s">
        <v>56</v>
      </c>
      <c r="G5" s="19" t="s">
        <v>56</v>
      </c>
      <c r="H5" s="10" t="s">
        <v>57</v>
      </c>
      <c r="I5" s="10" t="s">
        <v>57</v>
      </c>
      <c r="J5" s="10" t="s">
        <v>57</v>
      </c>
      <c r="K5" s="12" t="s">
        <v>37</v>
      </c>
      <c r="L5" s="12" t="s">
        <v>29</v>
      </c>
      <c r="M5" s="12" t="s">
        <v>40</v>
      </c>
      <c r="O5" s="9" t="s">
        <v>0</v>
      </c>
      <c r="P5" s="10" t="s">
        <v>79</v>
      </c>
      <c r="Q5" s="10" t="s">
        <v>79</v>
      </c>
      <c r="R5" s="10" t="s">
        <v>79</v>
      </c>
      <c r="S5" s="31" t="s">
        <v>80</v>
      </c>
      <c r="T5" s="31" t="s">
        <v>80</v>
      </c>
      <c r="U5" s="31" t="s">
        <v>80</v>
      </c>
      <c r="V5" s="10" t="s">
        <v>81</v>
      </c>
      <c r="W5" s="10" t="s">
        <v>81</v>
      </c>
      <c r="X5" s="10" t="s">
        <v>81</v>
      </c>
      <c r="Y5" s="12" t="s">
        <v>37</v>
      </c>
      <c r="Z5" s="12" t="s">
        <v>29</v>
      </c>
      <c r="AA5" s="12" t="s">
        <v>40</v>
      </c>
    </row>
    <row r="6" spans="1:27" x14ac:dyDescent="0.25">
      <c r="A6" s="9" t="s">
        <v>1</v>
      </c>
      <c r="B6" s="10" t="s">
        <v>58</v>
      </c>
      <c r="C6" s="10" t="s">
        <v>58</v>
      </c>
      <c r="D6" s="10" t="s">
        <v>58</v>
      </c>
      <c r="E6" s="19" t="s">
        <v>59</v>
      </c>
      <c r="F6" s="19" t="s">
        <v>59</v>
      </c>
      <c r="G6" s="19" t="s">
        <v>59</v>
      </c>
      <c r="H6" s="10" t="s">
        <v>60</v>
      </c>
      <c r="I6" s="10" t="s">
        <v>60</v>
      </c>
      <c r="J6" s="10" t="s">
        <v>60</v>
      </c>
      <c r="K6" s="12" t="s">
        <v>38</v>
      </c>
      <c r="L6" s="12" t="s">
        <v>30</v>
      </c>
      <c r="M6" s="12" t="s">
        <v>41</v>
      </c>
      <c r="O6" s="9" t="s">
        <v>1</v>
      </c>
      <c r="P6" s="10" t="s">
        <v>82</v>
      </c>
      <c r="Q6" s="10" t="s">
        <v>82</v>
      </c>
      <c r="R6" s="10" t="s">
        <v>82</v>
      </c>
      <c r="S6" s="31" t="s">
        <v>83</v>
      </c>
      <c r="T6" s="31" t="s">
        <v>83</v>
      </c>
      <c r="U6" s="31" t="s">
        <v>83</v>
      </c>
      <c r="V6" s="10" t="s">
        <v>84</v>
      </c>
      <c r="W6" s="10" t="s">
        <v>84</v>
      </c>
      <c r="X6" s="10" t="s">
        <v>84</v>
      </c>
      <c r="Y6" s="12" t="s">
        <v>38</v>
      </c>
      <c r="Z6" s="12" t="s">
        <v>30</v>
      </c>
      <c r="AA6" s="12" t="s">
        <v>41</v>
      </c>
    </row>
    <row r="7" spans="1:27" x14ac:dyDescent="0.25">
      <c r="A7" s="9" t="s">
        <v>2</v>
      </c>
      <c r="B7" s="10" t="s">
        <v>61</v>
      </c>
      <c r="C7" s="10" t="s">
        <v>61</v>
      </c>
      <c r="D7" s="10" t="s">
        <v>61</v>
      </c>
      <c r="E7" s="19" t="s">
        <v>62</v>
      </c>
      <c r="F7" s="19" t="s">
        <v>62</v>
      </c>
      <c r="G7" s="19" t="s">
        <v>62</v>
      </c>
      <c r="H7" s="10" t="s">
        <v>63</v>
      </c>
      <c r="I7" s="10" t="s">
        <v>63</v>
      </c>
      <c r="J7" s="10" t="s">
        <v>63</v>
      </c>
      <c r="K7" s="12" t="s">
        <v>42</v>
      </c>
      <c r="L7" s="12" t="s">
        <v>31</v>
      </c>
      <c r="M7" s="12" t="s">
        <v>43</v>
      </c>
      <c r="O7" s="9" t="s">
        <v>2</v>
      </c>
      <c r="P7" s="10" t="s">
        <v>85</v>
      </c>
      <c r="Q7" s="10" t="s">
        <v>85</v>
      </c>
      <c r="R7" s="10" t="s">
        <v>85</v>
      </c>
      <c r="S7" s="31" t="s">
        <v>86</v>
      </c>
      <c r="T7" s="31" t="s">
        <v>86</v>
      </c>
      <c r="U7" s="31" t="s">
        <v>86</v>
      </c>
      <c r="V7" s="10" t="s">
        <v>87</v>
      </c>
      <c r="W7" s="10" t="s">
        <v>87</v>
      </c>
      <c r="X7" s="10" t="s">
        <v>87</v>
      </c>
      <c r="Y7" s="12" t="s">
        <v>42</v>
      </c>
      <c r="Z7" s="12" t="s">
        <v>31</v>
      </c>
      <c r="AA7" s="12" t="s">
        <v>43</v>
      </c>
    </row>
    <row r="8" spans="1:27" x14ac:dyDescent="0.25">
      <c r="A8" s="9" t="s">
        <v>3</v>
      </c>
      <c r="B8" s="67" t="s">
        <v>64</v>
      </c>
      <c r="C8" s="10" t="s">
        <v>64</v>
      </c>
      <c r="D8" s="10" t="s">
        <v>64</v>
      </c>
      <c r="E8" s="79" t="s">
        <v>65</v>
      </c>
      <c r="F8" s="79" t="s">
        <v>65</v>
      </c>
      <c r="G8" s="79" t="s">
        <v>65</v>
      </c>
      <c r="H8" s="10" t="s">
        <v>66</v>
      </c>
      <c r="I8" s="10" t="s">
        <v>66</v>
      </c>
      <c r="J8" s="10" t="s">
        <v>66</v>
      </c>
      <c r="K8" s="12" t="s">
        <v>44</v>
      </c>
      <c r="L8" s="12" t="s">
        <v>32</v>
      </c>
      <c r="M8" s="12" t="s">
        <v>45</v>
      </c>
      <c r="O8" s="9" t="s">
        <v>3</v>
      </c>
      <c r="P8" s="10" t="s">
        <v>88</v>
      </c>
      <c r="Q8" s="10" t="s">
        <v>88</v>
      </c>
      <c r="R8" s="10" t="s">
        <v>88</v>
      </c>
      <c r="S8" s="31" t="s">
        <v>89</v>
      </c>
      <c r="T8" s="31" t="s">
        <v>89</v>
      </c>
      <c r="U8" s="31" t="s">
        <v>89</v>
      </c>
      <c r="V8" s="10" t="s">
        <v>90</v>
      </c>
      <c r="W8" s="10" t="s">
        <v>90</v>
      </c>
      <c r="X8" s="10" t="s">
        <v>90</v>
      </c>
      <c r="Y8" s="12" t="s">
        <v>44</v>
      </c>
      <c r="Z8" s="12" t="s">
        <v>32</v>
      </c>
      <c r="AA8" s="12" t="s">
        <v>45</v>
      </c>
    </row>
    <row r="9" spans="1:27" x14ac:dyDescent="0.25">
      <c r="A9" s="9" t="s">
        <v>4</v>
      </c>
      <c r="B9" s="10" t="s">
        <v>67</v>
      </c>
      <c r="C9" s="10" t="s">
        <v>67</v>
      </c>
      <c r="D9" s="10" t="s">
        <v>67</v>
      </c>
      <c r="E9" s="19" t="s">
        <v>68</v>
      </c>
      <c r="F9" s="19" t="s">
        <v>68</v>
      </c>
      <c r="G9" s="19" t="s">
        <v>68</v>
      </c>
      <c r="H9" s="10" t="s">
        <v>69</v>
      </c>
      <c r="I9" s="10" t="s">
        <v>69</v>
      </c>
      <c r="J9" s="10" t="s">
        <v>69</v>
      </c>
      <c r="K9" s="9"/>
      <c r="L9" s="12" t="s">
        <v>33</v>
      </c>
      <c r="M9" s="12" t="s">
        <v>46</v>
      </c>
      <c r="O9" s="9" t="s">
        <v>4</v>
      </c>
      <c r="P9" s="10" t="s">
        <v>91</v>
      </c>
      <c r="Q9" s="10" t="s">
        <v>91</v>
      </c>
      <c r="R9" s="10" t="s">
        <v>91</v>
      </c>
      <c r="S9" s="31" t="s">
        <v>92</v>
      </c>
      <c r="T9" s="31" t="s">
        <v>92</v>
      </c>
      <c r="U9" s="31" t="s">
        <v>92</v>
      </c>
      <c r="V9" s="10" t="s">
        <v>93</v>
      </c>
      <c r="W9" s="10" t="s">
        <v>93</v>
      </c>
      <c r="X9" s="10" t="s">
        <v>93</v>
      </c>
      <c r="Y9" s="9"/>
      <c r="Z9" s="12" t="s">
        <v>33</v>
      </c>
      <c r="AA9" s="12" t="s">
        <v>46</v>
      </c>
    </row>
    <row r="10" spans="1:27" x14ac:dyDescent="0.25">
      <c r="A10" s="9" t="s">
        <v>5</v>
      </c>
      <c r="B10" s="10" t="s">
        <v>70</v>
      </c>
      <c r="C10" s="10" t="s">
        <v>70</v>
      </c>
      <c r="D10" s="10" t="s">
        <v>70</v>
      </c>
      <c r="E10" s="19" t="s">
        <v>71</v>
      </c>
      <c r="F10" s="19" t="s">
        <v>71</v>
      </c>
      <c r="G10" s="19" t="s">
        <v>71</v>
      </c>
      <c r="H10" s="10" t="s">
        <v>72</v>
      </c>
      <c r="I10" s="10" t="s">
        <v>72</v>
      </c>
      <c r="J10" s="10" t="s">
        <v>72</v>
      </c>
      <c r="K10" s="9"/>
      <c r="L10" s="12" t="s">
        <v>34</v>
      </c>
      <c r="M10" s="12" t="s">
        <v>47</v>
      </c>
      <c r="O10" s="9" t="s">
        <v>5</v>
      </c>
      <c r="P10" s="10" t="s">
        <v>94</v>
      </c>
      <c r="Q10" s="10" t="s">
        <v>94</v>
      </c>
      <c r="R10" s="10" t="s">
        <v>94</v>
      </c>
      <c r="S10" s="31" t="s">
        <v>95</v>
      </c>
      <c r="T10" s="31" t="s">
        <v>95</v>
      </c>
      <c r="U10" s="31" t="s">
        <v>95</v>
      </c>
      <c r="V10" s="10" t="s">
        <v>96</v>
      </c>
      <c r="W10" s="10" t="s">
        <v>96</v>
      </c>
      <c r="X10" s="10" t="s">
        <v>96</v>
      </c>
      <c r="Y10" s="9"/>
      <c r="Z10" s="12" t="s">
        <v>34</v>
      </c>
      <c r="AA10" s="12" t="s">
        <v>47</v>
      </c>
    </row>
    <row r="11" spans="1:27" x14ac:dyDescent="0.25">
      <c r="A11" s="9" t="s">
        <v>6</v>
      </c>
      <c r="B11" s="10" t="s">
        <v>73</v>
      </c>
      <c r="C11" s="10" t="s">
        <v>73</v>
      </c>
      <c r="D11" s="10" t="s">
        <v>73</v>
      </c>
      <c r="E11" s="19" t="s">
        <v>74</v>
      </c>
      <c r="F11" s="19" t="s">
        <v>74</v>
      </c>
      <c r="G11" s="19" t="s">
        <v>74</v>
      </c>
      <c r="H11" s="10" t="s">
        <v>75</v>
      </c>
      <c r="I11" s="10" t="s">
        <v>75</v>
      </c>
      <c r="J11" s="10" t="s">
        <v>75</v>
      </c>
      <c r="K11" s="30" t="s">
        <v>28</v>
      </c>
      <c r="L11" s="12" t="s">
        <v>35</v>
      </c>
      <c r="M11" s="12" t="s">
        <v>48</v>
      </c>
      <c r="O11" s="9" t="s">
        <v>6</v>
      </c>
      <c r="P11" s="10" t="s">
        <v>97</v>
      </c>
      <c r="Q11" s="10" t="s">
        <v>97</v>
      </c>
      <c r="R11" s="10" t="s">
        <v>97</v>
      </c>
      <c r="S11" s="19" t="s">
        <v>98</v>
      </c>
      <c r="T11" s="19" t="s">
        <v>98</v>
      </c>
      <c r="U11" s="19" t="s">
        <v>98</v>
      </c>
      <c r="V11" s="10" t="s">
        <v>99</v>
      </c>
      <c r="W11" s="10" t="s">
        <v>99</v>
      </c>
      <c r="X11" s="10" t="s">
        <v>99</v>
      </c>
      <c r="Y11" s="30" t="s">
        <v>28</v>
      </c>
      <c r="Z11" s="12" t="s">
        <v>35</v>
      </c>
      <c r="AA11" s="12" t="s">
        <v>48</v>
      </c>
    </row>
    <row r="12" spans="1:27" x14ac:dyDescent="0.25">
      <c r="A12" s="9" t="s">
        <v>7</v>
      </c>
      <c r="B12" s="10" t="s">
        <v>76</v>
      </c>
      <c r="C12" s="10" t="s">
        <v>76</v>
      </c>
      <c r="D12" s="10" t="s">
        <v>76</v>
      </c>
      <c r="E12" s="19" t="s">
        <v>77</v>
      </c>
      <c r="F12" s="19" t="s">
        <v>77</v>
      </c>
      <c r="G12" s="19" t="s">
        <v>77</v>
      </c>
      <c r="H12" s="10" t="s">
        <v>78</v>
      </c>
      <c r="I12" s="10" t="s">
        <v>78</v>
      </c>
      <c r="J12" s="10" t="s">
        <v>78</v>
      </c>
      <c r="K12" s="30" t="s">
        <v>28</v>
      </c>
      <c r="L12" s="12" t="s">
        <v>36</v>
      </c>
      <c r="M12" s="12" t="s">
        <v>39</v>
      </c>
      <c r="O12" s="9" t="s">
        <v>7</v>
      </c>
      <c r="P12" s="65" t="s">
        <v>100</v>
      </c>
      <c r="Q12" s="10" t="s">
        <v>100</v>
      </c>
      <c r="R12" s="10" t="s">
        <v>100</v>
      </c>
      <c r="S12" s="19" t="s">
        <v>101</v>
      </c>
      <c r="T12" s="19" t="s">
        <v>101</v>
      </c>
      <c r="U12" s="19" t="s">
        <v>101</v>
      </c>
      <c r="V12" s="10" t="s">
        <v>102</v>
      </c>
      <c r="W12" s="10" t="s">
        <v>102</v>
      </c>
      <c r="X12" s="10" t="s">
        <v>102</v>
      </c>
      <c r="Y12" s="30" t="s">
        <v>28</v>
      </c>
      <c r="Z12" s="12" t="s">
        <v>36</v>
      </c>
      <c r="AA12" s="12" t="s">
        <v>39</v>
      </c>
    </row>
    <row r="13" spans="1:27" x14ac:dyDescent="0.25">
      <c r="A13" s="1"/>
      <c r="B13" s="68" t="s">
        <v>103</v>
      </c>
      <c r="E13" s="80" t="s">
        <v>105</v>
      </c>
      <c r="H13" s="40"/>
      <c r="O13" s="1"/>
      <c r="P13" s="66"/>
      <c r="V13" s="40"/>
      <c r="W13" s="29"/>
      <c r="X13" s="29"/>
    </row>
    <row r="14" spans="1:27" x14ac:dyDescent="0.25">
      <c r="A14" s="1"/>
      <c r="O14" s="1"/>
    </row>
    <row r="15" spans="1:27" x14ac:dyDescent="0.25">
      <c r="A15" s="20" t="s">
        <v>8</v>
      </c>
      <c r="B15" s="3"/>
      <c r="C15" s="3"/>
      <c r="D15" s="3"/>
      <c r="E15" s="9"/>
      <c r="F15" s="9"/>
      <c r="G15" s="9"/>
      <c r="H15" s="9"/>
      <c r="I15" s="9"/>
      <c r="J15" s="9"/>
      <c r="K15" s="9"/>
      <c r="L15" s="9"/>
      <c r="M15" s="9"/>
      <c r="O15" s="20" t="s">
        <v>8</v>
      </c>
      <c r="P15" s="3"/>
      <c r="Q15" s="3"/>
      <c r="R15" s="3"/>
      <c r="S15" s="9"/>
      <c r="T15" s="9"/>
      <c r="U15" s="9"/>
      <c r="V15" s="9"/>
      <c r="W15" s="9"/>
      <c r="X15" s="9"/>
      <c r="Y15" s="9"/>
      <c r="Z15" s="9"/>
      <c r="AA15" s="9"/>
    </row>
    <row r="16" spans="1:27" x14ac:dyDescent="0.25">
      <c r="A16" s="9"/>
      <c r="B16" s="10">
        <v>1</v>
      </c>
      <c r="C16" s="10">
        <v>2</v>
      </c>
      <c r="D16" s="10">
        <v>3</v>
      </c>
      <c r="E16" s="11">
        <v>4</v>
      </c>
      <c r="F16" s="11">
        <v>5</v>
      </c>
      <c r="G16" s="11">
        <v>6</v>
      </c>
      <c r="H16" s="10">
        <v>7</v>
      </c>
      <c r="I16" s="10">
        <v>8</v>
      </c>
      <c r="J16" s="10">
        <v>9</v>
      </c>
      <c r="K16" s="12">
        <v>10</v>
      </c>
      <c r="L16" s="12">
        <v>11</v>
      </c>
      <c r="M16" s="12">
        <v>12</v>
      </c>
      <c r="O16" s="9"/>
      <c r="P16" s="10">
        <v>1</v>
      </c>
      <c r="Q16" s="10">
        <v>2</v>
      </c>
      <c r="R16" s="10">
        <v>3</v>
      </c>
      <c r="S16" s="11">
        <v>4</v>
      </c>
      <c r="T16" s="11">
        <v>5</v>
      </c>
      <c r="U16" s="11">
        <v>6</v>
      </c>
      <c r="V16" s="10">
        <v>7</v>
      </c>
      <c r="W16" s="10">
        <v>8</v>
      </c>
      <c r="X16" s="10">
        <v>9</v>
      </c>
      <c r="Y16" s="12">
        <v>10</v>
      </c>
      <c r="Z16" s="12">
        <v>11</v>
      </c>
      <c r="AA16" s="12">
        <v>12</v>
      </c>
    </row>
    <row r="17" spans="1:27" x14ac:dyDescent="0.25">
      <c r="A17" s="9" t="s">
        <v>0</v>
      </c>
      <c r="B17" s="84">
        <v>0.749</v>
      </c>
      <c r="C17" s="84">
        <v>0.58599999999999997</v>
      </c>
      <c r="D17" s="84">
        <v>0.61</v>
      </c>
      <c r="E17" s="85">
        <v>0.68300000000000005</v>
      </c>
      <c r="F17" s="85">
        <v>0.67200000000000004</v>
      </c>
      <c r="G17" s="85">
        <v>0.60599999999999998</v>
      </c>
      <c r="H17" s="84">
        <v>0.60799999999999998</v>
      </c>
      <c r="I17" s="84">
        <v>0.65600000000000003</v>
      </c>
      <c r="J17" s="84">
        <v>0.66300000000000003</v>
      </c>
      <c r="K17" s="59">
        <v>0.39</v>
      </c>
      <c r="L17" s="59">
        <v>0.748</v>
      </c>
      <c r="M17" s="59">
        <v>0.73399999999999999</v>
      </c>
      <c r="O17" s="9" t="s">
        <v>0</v>
      </c>
      <c r="P17" s="84">
        <v>0.67200000000000004</v>
      </c>
      <c r="Q17" s="84">
        <v>0.63200000000000001</v>
      </c>
      <c r="R17" s="84">
        <v>0.57499999999999996</v>
      </c>
      <c r="S17" s="85">
        <v>0.70899999999999996</v>
      </c>
      <c r="T17" s="85">
        <v>0.68200000000000005</v>
      </c>
      <c r="U17" s="85">
        <v>0.72399999999999998</v>
      </c>
      <c r="V17" s="84">
        <v>0.47699999999999998</v>
      </c>
      <c r="W17" s="84">
        <v>0.50900000000000001</v>
      </c>
      <c r="X17" s="84">
        <v>0.54400000000000004</v>
      </c>
      <c r="Y17" s="59">
        <v>6.0999999999999999E-2</v>
      </c>
      <c r="Z17" s="59">
        <v>0.85499999999999998</v>
      </c>
      <c r="AA17" s="59">
        <v>0.78200000000000003</v>
      </c>
    </row>
    <row r="18" spans="1:27" x14ac:dyDescent="0.25">
      <c r="A18" s="9" t="s">
        <v>1</v>
      </c>
      <c r="B18" s="84">
        <v>0.62</v>
      </c>
      <c r="C18" s="84">
        <v>0.57799999999999996</v>
      </c>
      <c r="D18" s="84">
        <v>0.48499999999999999</v>
      </c>
      <c r="E18" s="85">
        <v>0.67700000000000005</v>
      </c>
      <c r="F18" s="85">
        <v>0.55700000000000005</v>
      </c>
      <c r="G18" s="85">
        <v>0.55400000000000005</v>
      </c>
      <c r="H18" s="84">
        <v>0.54600000000000004</v>
      </c>
      <c r="I18" s="84">
        <v>0.58499999999999996</v>
      </c>
      <c r="J18" s="84">
        <v>0.64400000000000002</v>
      </c>
      <c r="K18" s="59">
        <v>0.11700000000000001</v>
      </c>
      <c r="L18" s="59">
        <v>0.66600000000000004</v>
      </c>
      <c r="M18" s="59">
        <v>0.64100000000000001</v>
      </c>
      <c r="O18" s="9" t="s">
        <v>1</v>
      </c>
      <c r="P18" s="84">
        <v>0.65700000000000003</v>
      </c>
      <c r="Q18" s="84">
        <v>0.621</v>
      </c>
      <c r="R18" s="84">
        <v>0.58199999999999996</v>
      </c>
      <c r="S18" s="85">
        <v>0.51700000000000002</v>
      </c>
      <c r="T18" s="85">
        <v>0.496</v>
      </c>
      <c r="U18" s="85">
        <v>0.52500000000000002</v>
      </c>
      <c r="V18" s="84">
        <v>0.51100000000000001</v>
      </c>
      <c r="W18" s="84">
        <v>0.55800000000000005</v>
      </c>
      <c r="X18" s="84">
        <v>0.60599999999999998</v>
      </c>
      <c r="Y18" s="59">
        <v>0.05</v>
      </c>
      <c r="Z18" s="59">
        <v>0.68300000000000005</v>
      </c>
      <c r="AA18" s="59">
        <v>0.70799999999999996</v>
      </c>
    </row>
    <row r="19" spans="1:27" x14ac:dyDescent="0.25">
      <c r="A19" s="9" t="s">
        <v>2</v>
      </c>
      <c r="B19" s="84">
        <v>0.64200000000000002</v>
      </c>
      <c r="C19" s="84">
        <v>0.59399999999999997</v>
      </c>
      <c r="D19" s="84">
        <v>0.503</v>
      </c>
      <c r="E19" s="85">
        <v>0.59399999999999997</v>
      </c>
      <c r="F19" s="85">
        <v>0.59</v>
      </c>
      <c r="G19" s="85">
        <v>0.51400000000000001</v>
      </c>
      <c r="H19" s="84">
        <v>0.47899999999999998</v>
      </c>
      <c r="I19" s="84">
        <v>0.59799999999999998</v>
      </c>
      <c r="J19" s="84">
        <v>0.64100000000000001</v>
      </c>
      <c r="K19" s="59">
        <v>0.60099999999999998</v>
      </c>
      <c r="L19" s="59">
        <v>0.55900000000000005</v>
      </c>
      <c r="M19" s="59">
        <v>0.55200000000000005</v>
      </c>
      <c r="O19" s="9" t="s">
        <v>2</v>
      </c>
      <c r="P19" s="84">
        <v>0.69399999999999995</v>
      </c>
      <c r="Q19" s="84">
        <v>0.628</v>
      </c>
      <c r="R19" s="84">
        <v>0.57299999999999995</v>
      </c>
      <c r="S19" s="85">
        <v>0.39300000000000002</v>
      </c>
      <c r="T19" s="85">
        <v>0.35899999999999999</v>
      </c>
      <c r="U19" s="85">
        <v>0.378</v>
      </c>
      <c r="V19" s="84">
        <v>0.60699999999999998</v>
      </c>
      <c r="W19" s="84">
        <v>0.626</v>
      </c>
      <c r="X19" s="84">
        <v>0.65700000000000003</v>
      </c>
      <c r="Y19" s="59">
        <v>6.0999999999999999E-2</v>
      </c>
      <c r="Z19" s="59">
        <v>0.57599999999999996</v>
      </c>
      <c r="AA19" s="59">
        <v>0.54200000000000004</v>
      </c>
    </row>
    <row r="20" spans="1:27" x14ac:dyDescent="0.25">
      <c r="A20" s="9" t="s">
        <v>3</v>
      </c>
      <c r="B20" s="87">
        <v>0.70099999999999996</v>
      </c>
      <c r="C20" s="84">
        <v>0.71899999999999997</v>
      </c>
      <c r="D20" s="84">
        <v>0.53900000000000003</v>
      </c>
      <c r="E20" s="88">
        <v>0.20899999999999999</v>
      </c>
      <c r="F20" s="88">
        <v>0.20899999999999999</v>
      </c>
      <c r="G20" s="88">
        <v>0.19600000000000001</v>
      </c>
      <c r="H20" s="84">
        <v>0.65300000000000002</v>
      </c>
      <c r="I20" s="84">
        <v>0.52100000000000002</v>
      </c>
      <c r="J20" s="84">
        <v>0.65500000000000003</v>
      </c>
      <c r="K20" s="59">
        <v>0.17299999999999999</v>
      </c>
      <c r="L20" s="59">
        <v>0.45800000000000002</v>
      </c>
      <c r="M20" s="59">
        <v>0.43099999999999999</v>
      </c>
      <c r="O20" s="9" t="s">
        <v>3</v>
      </c>
      <c r="P20" s="84">
        <v>0.70799999999999996</v>
      </c>
      <c r="Q20" s="84">
        <v>0.66</v>
      </c>
      <c r="R20" s="84">
        <v>0.628</v>
      </c>
      <c r="S20" s="85">
        <v>0.57599999999999996</v>
      </c>
      <c r="T20" s="85">
        <v>0.54300000000000004</v>
      </c>
      <c r="U20" s="85">
        <v>0.55200000000000005</v>
      </c>
      <c r="V20" s="84">
        <v>0.7</v>
      </c>
      <c r="W20" s="84">
        <v>0.63700000000000001</v>
      </c>
      <c r="X20" s="84">
        <v>0.63400000000000001</v>
      </c>
      <c r="Y20" s="59">
        <v>0.05</v>
      </c>
      <c r="Z20" s="59">
        <v>0.46600000000000003</v>
      </c>
      <c r="AA20" s="59">
        <v>0.42099999999999999</v>
      </c>
    </row>
    <row r="21" spans="1:27" x14ac:dyDescent="0.25">
      <c r="A21" s="9" t="s">
        <v>4</v>
      </c>
      <c r="B21" s="84">
        <v>0.66500000000000004</v>
      </c>
      <c r="C21" s="84">
        <v>0.65900000000000003</v>
      </c>
      <c r="D21" s="84">
        <v>0.51400000000000001</v>
      </c>
      <c r="E21" s="85">
        <v>0.50900000000000001</v>
      </c>
      <c r="F21" s="85">
        <v>0.59899999999999998</v>
      </c>
      <c r="G21" s="85">
        <v>0.57799999999999996</v>
      </c>
      <c r="H21" s="84">
        <v>0.51700000000000002</v>
      </c>
      <c r="I21" s="84">
        <v>0.53</v>
      </c>
      <c r="J21" s="84">
        <v>0.65</v>
      </c>
      <c r="K21" s="62">
        <v>0.04</v>
      </c>
      <c r="L21" s="59">
        <v>0.313</v>
      </c>
      <c r="M21" s="59">
        <v>0.23</v>
      </c>
      <c r="O21" s="9" t="s">
        <v>4</v>
      </c>
      <c r="P21" s="84">
        <v>0.60699999999999998</v>
      </c>
      <c r="Q21" s="84">
        <v>0.56599999999999995</v>
      </c>
      <c r="R21" s="84">
        <v>0.52500000000000002</v>
      </c>
      <c r="S21" s="85">
        <v>0.58599999999999997</v>
      </c>
      <c r="T21" s="85">
        <v>0.59299999999999997</v>
      </c>
      <c r="U21" s="85">
        <v>0.57499999999999996</v>
      </c>
      <c r="V21" s="84">
        <v>0.53500000000000003</v>
      </c>
      <c r="W21" s="84">
        <v>0.52200000000000002</v>
      </c>
      <c r="X21" s="84">
        <v>0.56599999999999995</v>
      </c>
      <c r="Y21" s="62">
        <v>4.2000000000000003E-2</v>
      </c>
      <c r="Z21" s="59">
        <v>0.27900000000000003</v>
      </c>
      <c r="AA21" s="59">
        <v>0.27</v>
      </c>
    </row>
    <row r="22" spans="1:27" x14ac:dyDescent="0.25">
      <c r="A22" s="9" t="s">
        <v>5</v>
      </c>
      <c r="B22" s="84">
        <v>0.52</v>
      </c>
      <c r="C22" s="84">
        <v>0.48399999999999999</v>
      </c>
      <c r="D22" s="84">
        <v>0.41699999999999998</v>
      </c>
      <c r="E22" s="85">
        <v>0.65200000000000002</v>
      </c>
      <c r="F22" s="85">
        <v>0.52800000000000002</v>
      </c>
      <c r="G22" s="85">
        <v>0.51800000000000002</v>
      </c>
      <c r="H22" s="84">
        <v>0.63600000000000001</v>
      </c>
      <c r="I22" s="84">
        <v>0.64</v>
      </c>
      <c r="J22" s="84">
        <v>0.66100000000000003</v>
      </c>
      <c r="K22" s="62">
        <v>4.1000000000000002E-2</v>
      </c>
      <c r="L22" s="59">
        <v>0.20100000000000001</v>
      </c>
      <c r="M22" s="59">
        <v>0.16400000000000001</v>
      </c>
      <c r="O22" s="9" t="s">
        <v>5</v>
      </c>
      <c r="P22" s="84">
        <v>0.75700000000000001</v>
      </c>
      <c r="Q22" s="84">
        <v>0.72399999999999998</v>
      </c>
      <c r="R22" s="84">
        <v>0.72099999999999997</v>
      </c>
      <c r="S22" s="85">
        <v>0.628</v>
      </c>
      <c r="T22" s="85">
        <v>0.57399999999999995</v>
      </c>
      <c r="U22" s="85">
        <v>0.71599999999999997</v>
      </c>
      <c r="V22" s="84">
        <v>0.56899999999999995</v>
      </c>
      <c r="W22" s="84">
        <v>0.63300000000000001</v>
      </c>
      <c r="X22" s="84">
        <v>0.61299999999999999</v>
      </c>
      <c r="Y22" s="62">
        <v>4.2000000000000003E-2</v>
      </c>
      <c r="Z22" s="59">
        <v>0.186</v>
      </c>
      <c r="AA22" s="59">
        <v>0.2</v>
      </c>
    </row>
    <row r="23" spans="1:27" x14ac:dyDescent="0.25">
      <c r="A23" s="9" t="s">
        <v>6</v>
      </c>
      <c r="B23" s="84">
        <v>0.78600000000000003</v>
      </c>
      <c r="C23" s="84">
        <v>0.71499999999999997</v>
      </c>
      <c r="D23" s="84">
        <v>0.67700000000000005</v>
      </c>
      <c r="E23" s="85">
        <v>0.755</v>
      </c>
      <c r="F23" s="85">
        <v>0.67100000000000004</v>
      </c>
      <c r="G23" s="85">
        <v>0.60199999999999998</v>
      </c>
      <c r="H23" s="84">
        <v>0.59699999999999998</v>
      </c>
      <c r="I23" s="84">
        <v>0.78800000000000003</v>
      </c>
      <c r="J23" s="84">
        <v>0.74099999999999999</v>
      </c>
      <c r="K23" s="63">
        <v>4.2999999999999997E-2</v>
      </c>
      <c r="L23" s="59">
        <v>0.128</v>
      </c>
      <c r="M23" s="59">
        <v>0.105</v>
      </c>
      <c r="O23" s="9" t="s">
        <v>6</v>
      </c>
      <c r="P23" s="84">
        <v>0.76600000000000001</v>
      </c>
      <c r="Q23" s="84">
        <v>0.74399999999999999</v>
      </c>
      <c r="R23" s="84">
        <v>0.68700000000000006</v>
      </c>
      <c r="S23" s="85">
        <v>0.628</v>
      </c>
      <c r="T23" s="85">
        <v>0.61699999999999999</v>
      </c>
      <c r="U23" s="85">
        <v>0.68600000000000005</v>
      </c>
      <c r="V23" s="84">
        <v>0.68300000000000005</v>
      </c>
      <c r="W23" s="84">
        <v>0.77300000000000002</v>
      </c>
      <c r="X23" s="84">
        <v>0.73499999999999999</v>
      </c>
      <c r="Y23" s="63">
        <v>4.2000000000000003E-2</v>
      </c>
      <c r="Z23" s="59">
        <v>0.114</v>
      </c>
      <c r="AA23" s="59">
        <v>0.114</v>
      </c>
    </row>
    <row r="24" spans="1:27" x14ac:dyDescent="0.25">
      <c r="A24" s="9" t="s">
        <v>7</v>
      </c>
      <c r="B24" s="84">
        <v>0.80400000000000005</v>
      </c>
      <c r="C24" s="84">
        <v>0.81899999999999995</v>
      </c>
      <c r="D24" s="84">
        <v>0.68</v>
      </c>
      <c r="E24" s="85">
        <v>0.83799999999999997</v>
      </c>
      <c r="F24" s="85">
        <v>0.70899999999999996</v>
      </c>
      <c r="G24" s="85">
        <v>0.74099999999999999</v>
      </c>
      <c r="H24" s="84">
        <v>0.70399999999999996</v>
      </c>
      <c r="I24" s="84">
        <v>0.67200000000000004</v>
      </c>
      <c r="J24" s="84">
        <v>0.81699999999999995</v>
      </c>
      <c r="K24" s="63">
        <v>4.2999999999999997E-2</v>
      </c>
      <c r="L24" s="59">
        <v>8.2000000000000003E-2</v>
      </c>
      <c r="M24" s="59">
        <v>6.6000000000000003E-2</v>
      </c>
      <c r="O24" s="9" t="s">
        <v>7</v>
      </c>
      <c r="P24" s="84">
        <v>0.747</v>
      </c>
      <c r="Q24" s="84">
        <v>0.7</v>
      </c>
      <c r="R24" s="84">
        <v>0.69199999999999995</v>
      </c>
      <c r="S24" s="85">
        <v>0.74299999999999999</v>
      </c>
      <c r="T24" s="85">
        <v>0.73099999999999998</v>
      </c>
      <c r="U24" s="85">
        <v>0.79</v>
      </c>
      <c r="V24" s="84">
        <v>0.73099999999999998</v>
      </c>
      <c r="W24" s="84">
        <v>0.71899999999999997</v>
      </c>
      <c r="X24" s="84">
        <v>0.67400000000000004</v>
      </c>
      <c r="Y24" s="63">
        <v>4.3999999999999997E-2</v>
      </c>
      <c r="Z24" s="59">
        <v>8.7999999999999995E-2</v>
      </c>
      <c r="AA24" s="59">
        <v>0.08</v>
      </c>
    </row>
    <row r="25" spans="1:27" x14ac:dyDescent="0.25">
      <c r="A25" s="13"/>
      <c r="B25" s="81"/>
      <c r="C25" s="82"/>
      <c r="D25" s="82"/>
      <c r="E25" s="83"/>
      <c r="F25" s="83"/>
      <c r="G25" s="83"/>
      <c r="H25" s="83"/>
      <c r="I25" s="83"/>
      <c r="J25" s="83"/>
      <c r="K25" s="83"/>
      <c r="L25" s="83"/>
      <c r="M25" s="83"/>
      <c r="O25" s="13"/>
      <c r="P25" s="4"/>
      <c r="Q25" s="5"/>
      <c r="R25" s="5"/>
      <c r="S25" s="14"/>
      <c r="T25" s="14"/>
      <c r="U25" s="14"/>
      <c r="V25" s="14"/>
      <c r="W25" s="14"/>
      <c r="X25" s="14"/>
      <c r="Y25" s="14"/>
      <c r="Z25" s="14"/>
      <c r="AA25" s="14"/>
    </row>
    <row r="26" spans="1:27" x14ac:dyDescent="0.25">
      <c r="A26" s="21" t="s">
        <v>9</v>
      </c>
      <c r="B26" s="77"/>
      <c r="C26" s="77"/>
      <c r="D26" s="77"/>
      <c r="E26" s="70"/>
      <c r="F26" s="70"/>
      <c r="G26" s="70"/>
      <c r="H26" s="70"/>
      <c r="I26" s="70"/>
      <c r="J26" s="70"/>
      <c r="K26" s="70"/>
      <c r="L26" s="70"/>
      <c r="M26" s="70"/>
      <c r="O26" s="21" t="s">
        <v>9</v>
      </c>
      <c r="P26" s="6"/>
      <c r="Q26" s="6"/>
      <c r="R26" s="6"/>
      <c r="S26" s="7"/>
      <c r="T26" s="7"/>
      <c r="U26" s="7"/>
      <c r="V26" s="7"/>
      <c r="W26" s="7"/>
      <c r="X26" s="7"/>
      <c r="Y26" s="7"/>
      <c r="Z26" s="7"/>
      <c r="AA26" s="7"/>
    </row>
    <row r="27" spans="1:27" x14ac:dyDescent="0.25">
      <c r="A27" s="9"/>
      <c r="B27" s="10">
        <v>1</v>
      </c>
      <c r="C27" s="10">
        <v>2</v>
      </c>
      <c r="D27" s="10">
        <v>3</v>
      </c>
      <c r="E27" s="11">
        <v>4</v>
      </c>
      <c r="F27" s="11">
        <v>5</v>
      </c>
      <c r="G27" s="11">
        <v>6</v>
      </c>
      <c r="H27" s="10">
        <v>7</v>
      </c>
      <c r="I27" s="10">
        <v>8</v>
      </c>
      <c r="J27" s="10">
        <v>9</v>
      </c>
      <c r="K27" s="12">
        <v>10</v>
      </c>
      <c r="L27" s="12">
        <v>11</v>
      </c>
      <c r="M27" s="12">
        <v>12</v>
      </c>
      <c r="O27" s="9"/>
      <c r="P27" s="10">
        <v>1</v>
      </c>
      <c r="Q27" s="10">
        <v>2</v>
      </c>
      <c r="R27" s="10">
        <v>3</v>
      </c>
      <c r="S27" s="11">
        <v>4</v>
      </c>
      <c r="T27" s="11">
        <v>5</v>
      </c>
      <c r="U27" s="11">
        <v>6</v>
      </c>
      <c r="V27" s="10">
        <v>7</v>
      </c>
      <c r="W27" s="10">
        <v>8</v>
      </c>
      <c r="X27" s="10">
        <v>9</v>
      </c>
      <c r="Y27" s="12">
        <v>10</v>
      </c>
      <c r="Z27" s="12">
        <v>11</v>
      </c>
      <c r="AA27" s="12">
        <v>12</v>
      </c>
    </row>
    <row r="28" spans="1:27" x14ac:dyDescent="0.25">
      <c r="A28" s="9" t="s">
        <v>0</v>
      </c>
      <c r="B28" s="84">
        <v>4.1000000000000002E-2</v>
      </c>
      <c r="C28" s="84">
        <v>4.7E-2</v>
      </c>
      <c r="D28" s="84">
        <v>0.04</v>
      </c>
      <c r="E28" s="85">
        <v>3.9E-2</v>
      </c>
      <c r="F28" s="85">
        <v>3.9E-2</v>
      </c>
      <c r="G28" s="85">
        <v>0.04</v>
      </c>
      <c r="H28" s="84">
        <v>3.9E-2</v>
      </c>
      <c r="I28" s="84">
        <v>3.7999999999999999E-2</v>
      </c>
      <c r="J28" s="84">
        <v>3.9E-2</v>
      </c>
      <c r="K28" s="59">
        <v>3.7999999999999999E-2</v>
      </c>
      <c r="L28" s="59">
        <v>4.8000000000000001E-2</v>
      </c>
      <c r="M28" s="59">
        <v>4.8000000000000001E-2</v>
      </c>
      <c r="O28" s="9" t="s">
        <v>0</v>
      </c>
      <c r="P28" s="84">
        <v>3.9E-2</v>
      </c>
      <c r="Q28" s="84">
        <v>3.7999999999999999E-2</v>
      </c>
      <c r="R28" s="84">
        <v>3.7999999999999999E-2</v>
      </c>
      <c r="S28" s="85">
        <v>3.9E-2</v>
      </c>
      <c r="T28" s="85">
        <v>0.04</v>
      </c>
      <c r="U28" s="85">
        <v>3.7999999999999999E-2</v>
      </c>
      <c r="V28" s="84">
        <v>4.5999999999999999E-2</v>
      </c>
      <c r="W28" s="84">
        <v>3.7999999999999999E-2</v>
      </c>
      <c r="X28" s="84">
        <v>3.6999999999999998E-2</v>
      </c>
      <c r="Y28" s="59">
        <v>3.6999999999999998E-2</v>
      </c>
      <c r="Z28" s="59">
        <v>3.9E-2</v>
      </c>
      <c r="AA28" s="59">
        <v>0.04</v>
      </c>
    </row>
    <row r="29" spans="1:27" x14ac:dyDescent="0.25">
      <c r="A29" s="9" t="s">
        <v>1</v>
      </c>
      <c r="B29" s="84">
        <v>4.4999999999999998E-2</v>
      </c>
      <c r="C29" s="84">
        <v>3.7999999999999999E-2</v>
      </c>
      <c r="D29" s="84">
        <v>3.9E-2</v>
      </c>
      <c r="E29" s="85">
        <v>3.7999999999999999E-2</v>
      </c>
      <c r="F29" s="85">
        <v>5.6000000000000001E-2</v>
      </c>
      <c r="G29" s="85">
        <v>4.7E-2</v>
      </c>
      <c r="H29" s="84">
        <v>4.1000000000000002E-2</v>
      </c>
      <c r="I29" s="84">
        <v>4.2000000000000003E-2</v>
      </c>
      <c r="J29" s="84">
        <v>3.9E-2</v>
      </c>
      <c r="K29" s="59">
        <v>3.6999999999999998E-2</v>
      </c>
      <c r="L29" s="59">
        <v>3.7999999999999999E-2</v>
      </c>
      <c r="M29" s="59">
        <v>4.2000000000000003E-2</v>
      </c>
      <c r="O29" s="9" t="s">
        <v>1</v>
      </c>
      <c r="P29" s="84">
        <v>3.7999999999999999E-2</v>
      </c>
      <c r="Q29" s="84">
        <v>3.7999999999999999E-2</v>
      </c>
      <c r="R29" s="84">
        <v>3.7999999999999999E-2</v>
      </c>
      <c r="S29" s="85">
        <v>3.7999999999999999E-2</v>
      </c>
      <c r="T29" s="85">
        <v>3.7999999999999999E-2</v>
      </c>
      <c r="U29" s="85">
        <v>3.9E-2</v>
      </c>
      <c r="V29" s="84">
        <v>5.2999999999999999E-2</v>
      </c>
      <c r="W29" s="84">
        <v>3.9E-2</v>
      </c>
      <c r="X29" s="84">
        <v>3.7999999999999999E-2</v>
      </c>
      <c r="Y29" s="59">
        <v>3.5999999999999997E-2</v>
      </c>
      <c r="Z29" s="59">
        <v>3.6999999999999998E-2</v>
      </c>
      <c r="AA29" s="59">
        <v>3.7999999999999999E-2</v>
      </c>
    </row>
    <row r="30" spans="1:27" x14ac:dyDescent="0.25">
      <c r="A30" s="9" t="s">
        <v>2</v>
      </c>
      <c r="B30" s="84">
        <v>4.3999999999999997E-2</v>
      </c>
      <c r="C30" s="84">
        <v>3.9E-2</v>
      </c>
      <c r="D30" s="84">
        <v>0.04</v>
      </c>
      <c r="E30" s="85">
        <v>5.1999999999999998E-2</v>
      </c>
      <c r="F30" s="85">
        <v>3.7999999999999999E-2</v>
      </c>
      <c r="G30" s="85">
        <v>5.8999999999999997E-2</v>
      </c>
      <c r="H30" s="84">
        <v>4.9000000000000002E-2</v>
      </c>
      <c r="I30" s="84">
        <v>3.7999999999999999E-2</v>
      </c>
      <c r="J30" s="84">
        <v>0.04</v>
      </c>
      <c r="K30" s="59">
        <v>5.2999999999999999E-2</v>
      </c>
      <c r="L30" s="59">
        <v>4.2000000000000003E-2</v>
      </c>
      <c r="M30" s="59">
        <v>0.04</v>
      </c>
      <c r="O30" s="9" t="s">
        <v>2</v>
      </c>
      <c r="P30" s="84">
        <v>4.3999999999999997E-2</v>
      </c>
      <c r="Q30" s="84">
        <v>3.9E-2</v>
      </c>
      <c r="R30" s="84">
        <v>3.7999999999999999E-2</v>
      </c>
      <c r="S30" s="85">
        <v>3.6999999999999998E-2</v>
      </c>
      <c r="T30" s="85">
        <v>3.6999999999999998E-2</v>
      </c>
      <c r="U30" s="85">
        <v>3.6999999999999998E-2</v>
      </c>
      <c r="V30" s="84">
        <v>3.9E-2</v>
      </c>
      <c r="W30" s="84">
        <v>4.2000000000000003E-2</v>
      </c>
      <c r="X30" s="84">
        <v>3.9E-2</v>
      </c>
      <c r="Y30" s="59">
        <v>3.6999999999999998E-2</v>
      </c>
      <c r="Z30" s="59">
        <v>3.7999999999999999E-2</v>
      </c>
      <c r="AA30" s="59">
        <v>3.7999999999999999E-2</v>
      </c>
    </row>
    <row r="31" spans="1:27" x14ac:dyDescent="0.25">
      <c r="A31" s="9" t="s">
        <v>3</v>
      </c>
      <c r="B31" s="87">
        <v>5.2999999999999999E-2</v>
      </c>
      <c r="C31" s="84">
        <v>3.6999999999999998E-2</v>
      </c>
      <c r="D31" s="84">
        <v>5.3999999999999999E-2</v>
      </c>
      <c r="E31" s="88">
        <v>4.1000000000000002E-2</v>
      </c>
      <c r="F31" s="88">
        <v>3.9E-2</v>
      </c>
      <c r="G31" s="88">
        <v>3.9E-2</v>
      </c>
      <c r="H31" s="84">
        <v>5.2999999999999999E-2</v>
      </c>
      <c r="I31" s="84">
        <v>6.3E-2</v>
      </c>
      <c r="J31" s="84">
        <v>0.04</v>
      </c>
      <c r="K31" s="59">
        <v>4.1000000000000002E-2</v>
      </c>
      <c r="L31" s="59">
        <v>4.2000000000000003E-2</v>
      </c>
      <c r="M31" s="59">
        <v>3.7999999999999999E-2</v>
      </c>
      <c r="O31" s="9" t="s">
        <v>3</v>
      </c>
      <c r="P31" s="84">
        <v>3.9E-2</v>
      </c>
      <c r="Q31" s="84">
        <v>4.2000000000000003E-2</v>
      </c>
      <c r="R31" s="84">
        <v>3.7999999999999999E-2</v>
      </c>
      <c r="S31" s="85">
        <v>3.7999999999999999E-2</v>
      </c>
      <c r="T31" s="85">
        <v>3.6999999999999998E-2</v>
      </c>
      <c r="U31" s="85">
        <v>3.9E-2</v>
      </c>
      <c r="V31" s="84">
        <v>0.04</v>
      </c>
      <c r="W31" s="84">
        <v>3.7999999999999999E-2</v>
      </c>
      <c r="X31" s="84">
        <v>3.9E-2</v>
      </c>
      <c r="Y31" s="59">
        <v>3.5999999999999997E-2</v>
      </c>
      <c r="Z31" s="59">
        <v>3.7999999999999999E-2</v>
      </c>
      <c r="AA31" s="59">
        <v>3.9E-2</v>
      </c>
    </row>
    <row r="32" spans="1:27" x14ac:dyDescent="0.25">
      <c r="A32" s="9" t="s">
        <v>4</v>
      </c>
      <c r="B32" s="84">
        <v>4.5999999999999999E-2</v>
      </c>
      <c r="C32" s="84">
        <v>3.7999999999999999E-2</v>
      </c>
      <c r="D32" s="84">
        <v>0.05</v>
      </c>
      <c r="E32" s="85">
        <v>7.4999999999999997E-2</v>
      </c>
      <c r="F32" s="85">
        <v>4.2000000000000003E-2</v>
      </c>
      <c r="G32" s="85">
        <v>6.6000000000000003E-2</v>
      </c>
      <c r="H32" s="84">
        <v>5.8999999999999997E-2</v>
      </c>
      <c r="I32" s="84">
        <v>6.0999999999999999E-2</v>
      </c>
      <c r="J32" s="84">
        <v>3.7999999999999999E-2</v>
      </c>
      <c r="K32" s="62">
        <v>3.6999999999999998E-2</v>
      </c>
      <c r="L32" s="59">
        <v>0.04</v>
      </c>
      <c r="M32" s="59">
        <v>4.7E-2</v>
      </c>
      <c r="O32" s="9" t="s">
        <v>4</v>
      </c>
      <c r="P32" s="84">
        <v>3.9E-2</v>
      </c>
      <c r="Q32" s="84">
        <v>3.9E-2</v>
      </c>
      <c r="R32" s="84">
        <v>3.7999999999999999E-2</v>
      </c>
      <c r="S32" s="85">
        <v>3.9E-2</v>
      </c>
      <c r="T32" s="85">
        <v>3.6999999999999998E-2</v>
      </c>
      <c r="U32" s="85">
        <v>3.7999999999999999E-2</v>
      </c>
      <c r="V32" s="84">
        <v>3.7999999999999999E-2</v>
      </c>
      <c r="W32" s="84">
        <v>3.9E-2</v>
      </c>
      <c r="X32" s="84">
        <v>3.7999999999999999E-2</v>
      </c>
      <c r="Y32" s="62">
        <v>3.6999999999999998E-2</v>
      </c>
      <c r="Z32" s="59">
        <v>3.7999999999999999E-2</v>
      </c>
      <c r="AA32" s="59">
        <v>0.04</v>
      </c>
    </row>
    <row r="33" spans="1:27" x14ac:dyDescent="0.25">
      <c r="A33" s="9" t="s">
        <v>5</v>
      </c>
      <c r="B33" s="84">
        <v>6.2E-2</v>
      </c>
      <c r="C33" s="84">
        <v>3.7999999999999999E-2</v>
      </c>
      <c r="D33" s="84">
        <v>4.9000000000000002E-2</v>
      </c>
      <c r="E33" s="85">
        <v>3.7999999999999999E-2</v>
      </c>
      <c r="F33" s="85">
        <v>6.5000000000000002E-2</v>
      </c>
      <c r="G33" s="85">
        <v>0.08</v>
      </c>
      <c r="H33" s="84">
        <v>4.3999999999999997E-2</v>
      </c>
      <c r="I33" s="84">
        <v>0.04</v>
      </c>
      <c r="J33" s="84">
        <v>3.9E-2</v>
      </c>
      <c r="K33" s="62">
        <v>3.7999999999999999E-2</v>
      </c>
      <c r="L33" s="59">
        <v>3.7999999999999999E-2</v>
      </c>
      <c r="M33" s="59">
        <v>3.7999999999999999E-2</v>
      </c>
      <c r="O33" s="9" t="s">
        <v>5</v>
      </c>
      <c r="P33" s="84">
        <v>3.9E-2</v>
      </c>
      <c r="Q33" s="84">
        <v>3.7999999999999999E-2</v>
      </c>
      <c r="R33" s="84">
        <v>3.7999999999999999E-2</v>
      </c>
      <c r="S33" s="85">
        <v>3.7999999999999999E-2</v>
      </c>
      <c r="T33" s="85">
        <v>4.2999999999999997E-2</v>
      </c>
      <c r="U33" s="85">
        <v>0.04</v>
      </c>
      <c r="V33" s="84">
        <v>8.5999999999999993E-2</v>
      </c>
      <c r="W33" s="84">
        <v>3.9E-2</v>
      </c>
      <c r="X33" s="84">
        <v>3.7999999999999999E-2</v>
      </c>
      <c r="Y33" s="62">
        <v>3.6999999999999998E-2</v>
      </c>
      <c r="Z33" s="59">
        <v>3.7999999999999999E-2</v>
      </c>
      <c r="AA33" s="59">
        <v>3.5999999999999997E-2</v>
      </c>
    </row>
    <row r="34" spans="1:27" x14ac:dyDescent="0.25">
      <c r="A34" s="9" t="s">
        <v>6</v>
      </c>
      <c r="B34" s="84">
        <v>4.2000000000000003E-2</v>
      </c>
      <c r="C34" s="84">
        <v>4.2999999999999997E-2</v>
      </c>
      <c r="D34" s="84">
        <v>4.2999999999999997E-2</v>
      </c>
      <c r="E34" s="85">
        <v>3.7999999999999999E-2</v>
      </c>
      <c r="F34" s="85">
        <v>4.1000000000000002E-2</v>
      </c>
      <c r="G34" s="85">
        <v>5.8999999999999997E-2</v>
      </c>
      <c r="H34" s="84">
        <v>7.1999999999999995E-2</v>
      </c>
      <c r="I34" s="84">
        <v>3.9E-2</v>
      </c>
      <c r="J34" s="84">
        <v>4.4999999999999998E-2</v>
      </c>
      <c r="K34" s="63">
        <v>3.6999999999999998E-2</v>
      </c>
      <c r="L34" s="59">
        <v>3.7999999999999999E-2</v>
      </c>
      <c r="M34" s="59">
        <v>3.6999999999999998E-2</v>
      </c>
      <c r="O34" s="9" t="s">
        <v>6</v>
      </c>
      <c r="P34" s="84">
        <v>3.9E-2</v>
      </c>
      <c r="Q34" s="84">
        <v>3.9E-2</v>
      </c>
      <c r="R34" s="84">
        <v>3.7999999999999999E-2</v>
      </c>
      <c r="S34" s="85">
        <v>3.9E-2</v>
      </c>
      <c r="T34" s="85">
        <v>3.9E-2</v>
      </c>
      <c r="U34" s="85">
        <v>3.9E-2</v>
      </c>
      <c r="V34" s="84">
        <v>4.1000000000000002E-2</v>
      </c>
      <c r="W34" s="84">
        <v>3.7999999999999999E-2</v>
      </c>
      <c r="X34" s="84">
        <v>3.7999999999999999E-2</v>
      </c>
      <c r="Y34" s="63">
        <v>3.5999999999999997E-2</v>
      </c>
      <c r="Z34" s="59">
        <v>3.6999999999999998E-2</v>
      </c>
      <c r="AA34" s="59">
        <v>3.9E-2</v>
      </c>
    </row>
    <row r="35" spans="1:27" x14ac:dyDescent="0.25">
      <c r="A35" s="9" t="s">
        <v>7</v>
      </c>
      <c r="B35" s="84">
        <v>0.04</v>
      </c>
      <c r="C35" s="84">
        <v>3.9E-2</v>
      </c>
      <c r="D35" s="84">
        <v>5.1999999999999998E-2</v>
      </c>
      <c r="E35" s="85">
        <v>3.9E-2</v>
      </c>
      <c r="F35" s="85">
        <v>5.8000000000000003E-2</v>
      </c>
      <c r="G35" s="85">
        <v>8.3000000000000004E-2</v>
      </c>
      <c r="H35" s="84">
        <v>4.3999999999999997E-2</v>
      </c>
      <c r="I35" s="84">
        <v>6.9000000000000006E-2</v>
      </c>
      <c r="J35" s="84">
        <v>0.04</v>
      </c>
      <c r="K35" s="63">
        <v>3.6999999999999998E-2</v>
      </c>
      <c r="L35" s="59">
        <v>3.7999999999999999E-2</v>
      </c>
      <c r="M35" s="59">
        <v>3.6999999999999998E-2</v>
      </c>
      <c r="O35" s="9" t="s">
        <v>7</v>
      </c>
      <c r="P35" s="84">
        <v>3.9E-2</v>
      </c>
      <c r="Q35" s="84">
        <v>3.9E-2</v>
      </c>
      <c r="R35" s="84">
        <v>3.7999999999999999E-2</v>
      </c>
      <c r="S35" s="85">
        <v>3.9E-2</v>
      </c>
      <c r="T35" s="85">
        <v>4.1000000000000002E-2</v>
      </c>
      <c r="U35" s="85">
        <v>3.7999999999999999E-2</v>
      </c>
      <c r="V35" s="84">
        <v>3.7999999999999999E-2</v>
      </c>
      <c r="W35" s="84">
        <v>0.04</v>
      </c>
      <c r="X35" s="84">
        <v>4.4999999999999998E-2</v>
      </c>
      <c r="Y35" s="63">
        <v>3.6999999999999998E-2</v>
      </c>
      <c r="Z35" s="59">
        <v>3.6999999999999998E-2</v>
      </c>
      <c r="AA35" s="59">
        <v>3.7999999999999999E-2</v>
      </c>
    </row>
    <row r="36" spans="1:27" x14ac:dyDescent="0.25">
      <c r="A36" s="15"/>
      <c r="B36" s="4"/>
      <c r="C36" s="5"/>
      <c r="D36" s="5"/>
      <c r="E36" s="14"/>
      <c r="F36" s="14"/>
      <c r="G36" s="14"/>
      <c r="H36" s="14"/>
      <c r="I36" s="14"/>
      <c r="J36" s="14"/>
      <c r="K36" s="14"/>
      <c r="L36" s="14"/>
      <c r="M36" s="14"/>
      <c r="O36" s="15"/>
      <c r="P36" s="4"/>
      <c r="Q36" s="5"/>
      <c r="R36" s="5"/>
      <c r="S36" s="14"/>
      <c r="T36" s="14"/>
      <c r="U36" s="14"/>
      <c r="V36" s="14"/>
      <c r="W36" s="14"/>
      <c r="X36" s="14"/>
      <c r="Y36" s="14"/>
      <c r="Z36" s="14"/>
      <c r="AA36" s="14"/>
    </row>
    <row r="37" spans="1:27" x14ac:dyDescent="0.25">
      <c r="A37" s="20" t="s">
        <v>10</v>
      </c>
      <c r="B37" s="7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O37" s="20" t="s">
        <v>10</v>
      </c>
      <c r="P37" s="7"/>
      <c r="Q37" s="6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x14ac:dyDescent="0.25">
      <c r="A38" s="8"/>
      <c r="B38" s="10">
        <v>1</v>
      </c>
      <c r="C38" s="10">
        <v>2</v>
      </c>
      <c r="D38" s="10">
        <v>3</v>
      </c>
      <c r="E38" s="11">
        <v>4</v>
      </c>
      <c r="F38" s="11">
        <v>5</v>
      </c>
      <c r="G38" s="11">
        <v>6</v>
      </c>
      <c r="H38" s="10">
        <v>7</v>
      </c>
      <c r="I38" s="10">
        <v>8</v>
      </c>
      <c r="J38" s="10">
        <v>9</v>
      </c>
      <c r="K38" s="12">
        <v>10</v>
      </c>
      <c r="L38" s="12">
        <v>11</v>
      </c>
      <c r="M38" s="12">
        <v>12</v>
      </c>
      <c r="O38" s="8"/>
      <c r="P38" s="10">
        <v>1</v>
      </c>
      <c r="Q38" s="10">
        <v>2</v>
      </c>
      <c r="R38" s="10">
        <v>3</v>
      </c>
      <c r="S38" s="31">
        <v>4</v>
      </c>
      <c r="T38" s="31">
        <v>5</v>
      </c>
      <c r="U38" s="31">
        <v>6</v>
      </c>
      <c r="V38" s="10">
        <v>7</v>
      </c>
      <c r="W38" s="10">
        <v>8</v>
      </c>
      <c r="X38" s="10">
        <v>9</v>
      </c>
      <c r="Y38" s="12">
        <v>10</v>
      </c>
      <c r="Z38" s="12">
        <v>11</v>
      </c>
      <c r="AA38" s="12">
        <v>12</v>
      </c>
    </row>
    <row r="39" spans="1:27" x14ac:dyDescent="0.25">
      <c r="A39" s="9" t="s">
        <v>0</v>
      </c>
      <c r="B39" s="32">
        <f>B17-B28</f>
        <v>0.70799999999999996</v>
      </c>
      <c r="C39" s="32">
        <f>C17-C28</f>
        <v>0.53899999999999992</v>
      </c>
      <c r="D39" s="32">
        <f t="shared" ref="D39:M39" si="0">D17-D28</f>
        <v>0.56999999999999995</v>
      </c>
      <c r="E39" s="33">
        <f t="shared" si="0"/>
        <v>0.64400000000000002</v>
      </c>
      <c r="F39" s="33">
        <f t="shared" si="0"/>
        <v>0.63300000000000001</v>
      </c>
      <c r="G39" s="33">
        <f t="shared" si="0"/>
        <v>0.56599999999999995</v>
      </c>
      <c r="H39" s="32">
        <f t="shared" si="0"/>
        <v>0.56899999999999995</v>
      </c>
      <c r="I39" s="32">
        <f t="shared" si="0"/>
        <v>0.61799999999999999</v>
      </c>
      <c r="J39" s="32">
        <f t="shared" si="0"/>
        <v>0.624</v>
      </c>
      <c r="K39" s="34">
        <f>K17-K28</f>
        <v>0.35200000000000004</v>
      </c>
      <c r="L39" s="34">
        <f t="shared" si="0"/>
        <v>0.7</v>
      </c>
      <c r="M39" s="34">
        <f t="shared" si="0"/>
        <v>0.68599999999999994</v>
      </c>
      <c r="O39" s="9" t="s">
        <v>0</v>
      </c>
      <c r="P39" s="32">
        <f>P17-P28</f>
        <v>0.63300000000000001</v>
      </c>
      <c r="Q39" s="32">
        <f>Q17-Q28</f>
        <v>0.59399999999999997</v>
      </c>
      <c r="R39" s="32">
        <f t="shared" ref="R39:X39" si="1">R17-R28</f>
        <v>0.53699999999999992</v>
      </c>
      <c r="S39" s="41">
        <f t="shared" si="1"/>
        <v>0.66999999999999993</v>
      </c>
      <c r="T39" s="41">
        <f t="shared" si="1"/>
        <v>0.64200000000000002</v>
      </c>
      <c r="U39" s="41">
        <f>U17-U28</f>
        <v>0.68599999999999994</v>
      </c>
      <c r="V39" s="32">
        <f t="shared" si="1"/>
        <v>0.43099999999999999</v>
      </c>
      <c r="W39" s="32">
        <f t="shared" si="1"/>
        <v>0.47100000000000003</v>
      </c>
      <c r="X39" s="32">
        <f t="shared" si="1"/>
        <v>0.50700000000000001</v>
      </c>
      <c r="Y39" s="34">
        <f t="shared" ref="Y39:Y40" si="2">Y17-Y28</f>
        <v>2.4E-2</v>
      </c>
      <c r="Z39" s="34">
        <f>Z17-Z28</f>
        <v>0.81599999999999995</v>
      </c>
      <c r="AA39" s="34">
        <f>AA17-AA28</f>
        <v>0.74199999999999999</v>
      </c>
    </row>
    <row r="40" spans="1:27" x14ac:dyDescent="0.25">
      <c r="A40" s="9" t="s">
        <v>1</v>
      </c>
      <c r="B40" s="32">
        <f t="shared" ref="B40:M46" si="3">B18-B29</f>
        <v>0.57499999999999996</v>
      </c>
      <c r="C40" s="32">
        <f t="shared" si="3"/>
        <v>0.53999999999999992</v>
      </c>
      <c r="D40" s="32">
        <f t="shared" si="3"/>
        <v>0.44600000000000001</v>
      </c>
      <c r="E40" s="33">
        <f t="shared" si="3"/>
        <v>0.63900000000000001</v>
      </c>
      <c r="F40" s="33">
        <f t="shared" si="3"/>
        <v>0.501</v>
      </c>
      <c r="G40" s="33">
        <f t="shared" si="3"/>
        <v>0.50700000000000001</v>
      </c>
      <c r="H40" s="32">
        <f t="shared" si="3"/>
        <v>0.505</v>
      </c>
      <c r="I40" s="32">
        <f t="shared" si="3"/>
        <v>0.54299999999999993</v>
      </c>
      <c r="J40" s="32">
        <f t="shared" si="3"/>
        <v>0.60499999999999998</v>
      </c>
      <c r="K40" s="34">
        <f>K18-K29</f>
        <v>8.0000000000000016E-2</v>
      </c>
      <c r="L40" s="34">
        <f t="shared" si="3"/>
        <v>0.628</v>
      </c>
      <c r="M40" s="34">
        <f t="shared" si="3"/>
        <v>0.59899999999999998</v>
      </c>
      <c r="O40" s="9" t="s">
        <v>1</v>
      </c>
      <c r="P40" s="32">
        <f t="shared" ref="P40:X40" si="4">P18-P29</f>
        <v>0.61899999999999999</v>
      </c>
      <c r="Q40" s="32">
        <f t="shared" si="4"/>
        <v>0.58299999999999996</v>
      </c>
      <c r="R40" s="32">
        <f t="shared" si="4"/>
        <v>0.54399999999999993</v>
      </c>
      <c r="S40" s="41">
        <f t="shared" si="4"/>
        <v>0.47900000000000004</v>
      </c>
      <c r="T40" s="41">
        <f t="shared" si="4"/>
        <v>0.45800000000000002</v>
      </c>
      <c r="U40" s="41">
        <f t="shared" si="4"/>
        <v>0.48600000000000004</v>
      </c>
      <c r="V40" s="32">
        <f t="shared" si="4"/>
        <v>0.45800000000000002</v>
      </c>
      <c r="W40" s="32">
        <f t="shared" si="4"/>
        <v>0.51900000000000002</v>
      </c>
      <c r="X40" s="32">
        <f t="shared" si="4"/>
        <v>0.56799999999999995</v>
      </c>
      <c r="Y40" s="34">
        <f t="shared" si="2"/>
        <v>1.4000000000000005E-2</v>
      </c>
      <c r="Z40" s="34">
        <f>Z18-Z29</f>
        <v>0.64600000000000002</v>
      </c>
      <c r="AA40" s="34">
        <f>AA18-AA29</f>
        <v>0.66999999999999993</v>
      </c>
    </row>
    <row r="41" spans="1:27" x14ac:dyDescent="0.25">
      <c r="A41" s="9" t="s">
        <v>2</v>
      </c>
      <c r="B41" s="32">
        <f t="shared" si="3"/>
        <v>0.59799999999999998</v>
      </c>
      <c r="C41" s="32">
        <f t="shared" si="3"/>
        <v>0.55499999999999994</v>
      </c>
      <c r="D41" s="32">
        <f t="shared" si="3"/>
        <v>0.46300000000000002</v>
      </c>
      <c r="E41" s="33">
        <f>E19-E30</f>
        <v>0.54199999999999993</v>
      </c>
      <c r="F41" s="33">
        <f t="shared" si="3"/>
        <v>0.55199999999999994</v>
      </c>
      <c r="G41" s="33">
        <f t="shared" si="3"/>
        <v>0.45500000000000002</v>
      </c>
      <c r="H41" s="32">
        <f t="shared" si="3"/>
        <v>0.43</v>
      </c>
      <c r="I41" s="32">
        <f t="shared" si="3"/>
        <v>0.55999999999999994</v>
      </c>
      <c r="J41" s="32">
        <f>J19-J30</f>
        <v>0.60099999999999998</v>
      </c>
      <c r="K41" s="34">
        <f t="shared" si="3"/>
        <v>0.54799999999999993</v>
      </c>
      <c r="L41" s="34">
        <f t="shared" si="3"/>
        <v>0.51700000000000002</v>
      </c>
      <c r="M41" s="34">
        <f t="shared" si="3"/>
        <v>0.51200000000000001</v>
      </c>
      <c r="O41" s="9" t="s">
        <v>2</v>
      </c>
      <c r="P41" s="32">
        <f t="shared" ref="P41:AA41" si="5">P19-P30</f>
        <v>0.64999999999999991</v>
      </c>
      <c r="Q41" s="32">
        <f t="shared" si="5"/>
        <v>0.58899999999999997</v>
      </c>
      <c r="R41" s="32">
        <f t="shared" si="5"/>
        <v>0.53499999999999992</v>
      </c>
      <c r="S41" s="41">
        <f t="shared" si="5"/>
        <v>0.35600000000000004</v>
      </c>
      <c r="T41" s="41">
        <f t="shared" si="5"/>
        <v>0.32200000000000001</v>
      </c>
      <c r="U41" s="41">
        <f t="shared" si="5"/>
        <v>0.34100000000000003</v>
      </c>
      <c r="V41" s="32">
        <f t="shared" si="5"/>
        <v>0.56799999999999995</v>
      </c>
      <c r="W41" s="32">
        <f t="shared" si="5"/>
        <v>0.58399999999999996</v>
      </c>
      <c r="X41" s="32">
        <f t="shared" si="5"/>
        <v>0.61799999999999999</v>
      </c>
      <c r="Y41" s="34">
        <f t="shared" si="5"/>
        <v>2.4E-2</v>
      </c>
      <c r="Z41" s="34">
        <f>Z19-Z30</f>
        <v>0.53799999999999992</v>
      </c>
      <c r="AA41" s="34">
        <f t="shared" si="5"/>
        <v>0.504</v>
      </c>
    </row>
    <row r="42" spans="1:27" x14ac:dyDescent="0.25">
      <c r="A42" s="9" t="s">
        <v>3</v>
      </c>
      <c r="B42" s="69">
        <f t="shared" si="3"/>
        <v>0.64799999999999991</v>
      </c>
      <c r="C42" s="32">
        <f t="shared" si="3"/>
        <v>0.68199999999999994</v>
      </c>
      <c r="D42" s="32">
        <f t="shared" si="3"/>
        <v>0.48500000000000004</v>
      </c>
      <c r="E42" s="89">
        <f t="shared" si="3"/>
        <v>0.16799999999999998</v>
      </c>
      <c r="F42" s="89">
        <f t="shared" si="3"/>
        <v>0.16999999999999998</v>
      </c>
      <c r="G42" s="89">
        <f t="shared" si="3"/>
        <v>0.157</v>
      </c>
      <c r="H42" s="32">
        <f t="shared" si="3"/>
        <v>0.6</v>
      </c>
      <c r="I42" s="32">
        <f t="shared" si="3"/>
        <v>0.45800000000000002</v>
      </c>
      <c r="J42" s="32">
        <f t="shared" si="3"/>
        <v>0.61499999999999999</v>
      </c>
      <c r="K42" s="34">
        <f t="shared" si="3"/>
        <v>0.13199999999999998</v>
      </c>
      <c r="L42" s="34">
        <f t="shared" si="3"/>
        <v>0.41600000000000004</v>
      </c>
      <c r="M42" s="34">
        <f t="shared" si="3"/>
        <v>0.39300000000000002</v>
      </c>
      <c r="O42" s="9" t="s">
        <v>3</v>
      </c>
      <c r="P42" s="32">
        <f>P20-P31</f>
        <v>0.66899999999999993</v>
      </c>
      <c r="Q42" s="32">
        <f t="shared" ref="Q42:AA42" si="6">Q20-Q31</f>
        <v>0.61799999999999999</v>
      </c>
      <c r="R42" s="32">
        <f t="shared" si="6"/>
        <v>0.59</v>
      </c>
      <c r="S42" s="41">
        <f t="shared" si="6"/>
        <v>0.53799999999999992</v>
      </c>
      <c r="T42" s="41">
        <f t="shared" si="6"/>
        <v>0.50600000000000001</v>
      </c>
      <c r="U42" s="41">
        <f t="shared" si="6"/>
        <v>0.51300000000000001</v>
      </c>
      <c r="V42" s="32">
        <f t="shared" si="6"/>
        <v>0.65999999999999992</v>
      </c>
      <c r="W42" s="32">
        <f t="shared" si="6"/>
        <v>0.59899999999999998</v>
      </c>
      <c r="X42" s="32">
        <f t="shared" si="6"/>
        <v>0.59499999999999997</v>
      </c>
      <c r="Y42" s="34">
        <f t="shared" si="6"/>
        <v>1.4000000000000005E-2</v>
      </c>
      <c r="Z42" s="34">
        <f t="shared" si="6"/>
        <v>0.42800000000000005</v>
      </c>
      <c r="AA42" s="34">
        <f t="shared" si="6"/>
        <v>0.38200000000000001</v>
      </c>
    </row>
    <row r="43" spans="1:27" x14ac:dyDescent="0.25">
      <c r="A43" s="9" t="s">
        <v>4</v>
      </c>
      <c r="B43" s="32">
        <f t="shared" si="3"/>
        <v>0.61899999999999999</v>
      </c>
      <c r="C43" s="32">
        <f>C21-C32</f>
        <v>0.621</v>
      </c>
      <c r="D43" s="32">
        <f>D21-D32</f>
        <v>0.46400000000000002</v>
      </c>
      <c r="E43" s="33">
        <f t="shared" si="3"/>
        <v>0.434</v>
      </c>
      <c r="F43" s="33">
        <f t="shared" si="3"/>
        <v>0.55699999999999994</v>
      </c>
      <c r="G43" s="33">
        <f t="shared" si="3"/>
        <v>0.51200000000000001</v>
      </c>
      <c r="H43" s="32">
        <f t="shared" si="3"/>
        <v>0.45800000000000002</v>
      </c>
      <c r="I43" s="32">
        <f t="shared" si="3"/>
        <v>0.46900000000000003</v>
      </c>
      <c r="J43" s="32">
        <f t="shared" si="3"/>
        <v>0.61199999999999999</v>
      </c>
      <c r="K43" s="35">
        <f t="shared" si="3"/>
        <v>3.0000000000000027E-3</v>
      </c>
      <c r="L43" s="34">
        <f t="shared" si="3"/>
        <v>0.27300000000000002</v>
      </c>
      <c r="M43" s="34">
        <f t="shared" si="3"/>
        <v>0.183</v>
      </c>
      <c r="O43" s="9" t="s">
        <v>4</v>
      </c>
      <c r="P43" s="32">
        <f>P21-P32</f>
        <v>0.56799999999999995</v>
      </c>
      <c r="Q43" s="32">
        <f>Q21-Q32</f>
        <v>0.52699999999999991</v>
      </c>
      <c r="R43" s="32">
        <f>R21-R32</f>
        <v>0.48700000000000004</v>
      </c>
      <c r="S43" s="41">
        <f t="shared" ref="S43:AA43" si="7">S21-S32</f>
        <v>0.54699999999999993</v>
      </c>
      <c r="T43" s="41">
        <f t="shared" si="7"/>
        <v>0.55599999999999994</v>
      </c>
      <c r="U43" s="41">
        <f t="shared" si="7"/>
        <v>0.53699999999999992</v>
      </c>
      <c r="V43" s="32">
        <f t="shared" si="7"/>
        <v>0.49700000000000005</v>
      </c>
      <c r="W43" s="32">
        <f t="shared" si="7"/>
        <v>0.48300000000000004</v>
      </c>
      <c r="X43" s="32">
        <f t="shared" si="7"/>
        <v>0.52799999999999991</v>
      </c>
      <c r="Y43" s="35">
        <f t="shared" si="7"/>
        <v>5.0000000000000044E-3</v>
      </c>
      <c r="Z43" s="34">
        <f t="shared" si="7"/>
        <v>0.24100000000000002</v>
      </c>
      <c r="AA43" s="34">
        <f t="shared" si="7"/>
        <v>0.23</v>
      </c>
    </row>
    <row r="44" spans="1:27" x14ac:dyDescent="0.25">
      <c r="A44" s="9" t="s">
        <v>5</v>
      </c>
      <c r="B44" s="32">
        <f t="shared" si="3"/>
        <v>0.45800000000000002</v>
      </c>
      <c r="C44" s="32">
        <f>C22-C33</f>
        <v>0.44600000000000001</v>
      </c>
      <c r="D44" s="32">
        <f t="shared" si="3"/>
        <v>0.36799999999999999</v>
      </c>
      <c r="E44" s="33">
        <f t="shared" si="3"/>
        <v>0.61399999999999999</v>
      </c>
      <c r="F44" s="33">
        <f t="shared" si="3"/>
        <v>0.46300000000000002</v>
      </c>
      <c r="G44" s="33">
        <f t="shared" si="3"/>
        <v>0.438</v>
      </c>
      <c r="H44" s="32">
        <f t="shared" si="3"/>
        <v>0.59199999999999997</v>
      </c>
      <c r="I44" s="32">
        <f t="shared" si="3"/>
        <v>0.6</v>
      </c>
      <c r="J44" s="32">
        <f>J22-J33</f>
        <v>0.622</v>
      </c>
      <c r="K44" s="35">
        <f>K22-K33</f>
        <v>3.0000000000000027E-3</v>
      </c>
      <c r="L44" s="34">
        <f t="shared" si="3"/>
        <v>0.16300000000000001</v>
      </c>
      <c r="M44" s="34">
        <f t="shared" si="3"/>
        <v>0.126</v>
      </c>
      <c r="O44" s="9" t="s">
        <v>5</v>
      </c>
      <c r="P44" s="32">
        <f t="shared" ref="P44:AA44" si="8">P22-P33</f>
        <v>0.71799999999999997</v>
      </c>
      <c r="Q44" s="32">
        <f>Q22-Q33</f>
        <v>0.68599999999999994</v>
      </c>
      <c r="R44" s="32">
        <f t="shared" si="8"/>
        <v>0.68299999999999994</v>
      </c>
      <c r="S44" s="33">
        <f t="shared" si="8"/>
        <v>0.59</v>
      </c>
      <c r="T44" s="33">
        <f t="shared" si="8"/>
        <v>0.53099999999999992</v>
      </c>
      <c r="U44" s="33">
        <f t="shared" si="8"/>
        <v>0.67599999999999993</v>
      </c>
      <c r="V44" s="32">
        <f t="shared" si="8"/>
        <v>0.48299999999999998</v>
      </c>
      <c r="W44" s="32">
        <f t="shared" si="8"/>
        <v>0.59399999999999997</v>
      </c>
      <c r="X44" s="32">
        <f t="shared" si="8"/>
        <v>0.57499999999999996</v>
      </c>
      <c r="Y44" s="35">
        <f t="shared" si="8"/>
        <v>5.0000000000000044E-3</v>
      </c>
      <c r="Z44" s="34">
        <f t="shared" si="8"/>
        <v>0.14799999999999999</v>
      </c>
      <c r="AA44" s="34">
        <f t="shared" si="8"/>
        <v>0.16400000000000001</v>
      </c>
    </row>
    <row r="45" spans="1:27" x14ac:dyDescent="0.25">
      <c r="A45" s="9" t="s">
        <v>6</v>
      </c>
      <c r="B45" s="32">
        <f t="shared" si="3"/>
        <v>0.74399999999999999</v>
      </c>
      <c r="C45" s="32">
        <f t="shared" si="3"/>
        <v>0.67199999999999993</v>
      </c>
      <c r="D45" s="32">
        <f t="shared" si="3"/>
        <v>0.63400000000000001</v>
      </c>
      <c r="E45" s="33">
        <f t="shared" si="3"/>
        <v>0.71699999999999997</v>
      </c>
      <c r="F45" s="33">
        <f t="shared" si="3"/>
        <v>0.63</v>
      </c>
      <c r="G45" s="33">
        <f t="shared" si="3"/>
        <v>0.54299999999999993</v>
      </c>
      <c r="H45" s="32">
        <f t="shared" si="3"/>
        <v>0.52500000000000002</v>
      </c>
      <c r="I45" s="32">
        <f t="shared" si="3"/>
        <v>0.749</v>
      </c>
      <c r="J45" s="32">
        <f t="shared" si="3"/>
        <v>0.69599999999999995</v>
      </c>
      <c r="K45" s="36">
        <f>K23-K34</f>
        <v>5.9999999999999984E-3</v>
      </c>
      <c r="L45" s="34">
        <f t="shared" si="3"/>
        <v>0.09</v>
      </c>
      <c r="M45" s="34">
        <f t="shared" si="3"/>
        <v>6.8000000000000005E-2</v>
      </c>
      <c r="O45" s="9" t="s">
        <v>6</v>
      </c>
      <c r="P45" s="32">
        <f t="shared" ref="P45:X45" si="9">P23-P34</f>
        <v>0.72699999999999998</v>
      </c>
      <c r="Q45" s="32">
        <f t="shared" si="9"/>
        <v>0.70499999999999996</v>
      </c>
      <c r="R45" s="32">
        <f t="shared" si="9"/>
        <v>0.64900000000000002</v>
      </c>
      <c r="S45" s="33">
        <f t="shared" si="9"/>
        <v>0.58899999999999997</v>
      </c>
      <c r="T45" s="33">
        <f t="shared" si="9"/>
        <v>0.57799999999999996</v>
      </c>
      <c r="U45" s="33">
        <f t="shared" si="9"/>
        <v>0.64700000000000002</v>
      </c>
      <c r="V45" s="32">
        <f t="shared" si="9"/>
        <v>0.64200000000000002</v>
      </c>
      <c r="W45" s="32">
        <f t="shared" si="9"/>
        <v>0.73499999999999999</v>
      </c>
      <c r="X45" s="32">
        <f t="shared" si="9"/>
        <v>0.69699999999999995</v>
      </c>
      <c r="Y45" s="36">
        <f>Y23-Y34</f>
        <v>6.0000000000000053E-3</v>
      </c>
      <c r="Z45" s="34">
        <f>Z23-Z34</f>
        <v>7.7000000000000013E-2</v>
      </c>
      <c r="AA45" s="34">
        <f>AA23-AA34</f>
        <v>7.5000000000000011E-2</v>
      </c>
    </row>
    <row r="46" spans="1:27" x14ac:dyDescent="0.25">
      <c r="A46" s="9" t="s">
        <v>7</v>
      </c>
      <c r="B46" s="32">
        <f t="shared" si="3"/>
        <v>0.76400000000000001</v>
      </c>
      <c r="C46" s="32">
        <f t="shared" si="3"/>
        <v>0.77999999999999992</v>
      </c>
      <c r="D46" s="32">
        <f t="shared" si="3"/>
        <v>0.628</v>
      </c>
      <c r="E46" s="33">
        <f t="shared" si="3"/>
        <v>0.79899999999999993</v>
      </c>
      <c r="F46" s="33">
        <f t="shared" si="3"/>
        <v>0.65099999999999991</v>
      </c>
      <c r="G46" s="33">
        <f>G24-G35</f>
        <v>0.65800000000000003</v>
      </c>
      <c r="H46" s="32">
        <f t="shared" si="3"/>
        <v>0.65999999999999992</v>
      </c>
      <c r="I46" s="32">
        <f t="shared" si="3"/>
        <v>0.60299999999999998</v>
      </c>
      <c r="J46" s="32">
        <f t="shared" si="3"/>
        <v>0.77699999999999991</v>
      </c>
      <c r="K46" s="36">
        <f t="shared" si="3"/>
        <v>5.9999999999999984E-3</v>
      </c>
      <c r="L46" s="34">
        <f t="shared" si="3"/>
        <v>4.4000000000000004E-2</v>
      </c>
      <c r="M46" s="34">
        <f t="shared" si="3"/>
        <v>2.9000000000000005E-2</v>
      </c>
      <c r="O46" s="9" t="s">
        <v>7</v>
      </c>
      <c r="P46" s="32">
        <f t="shared" ref="P46:AA46" si="10">P24-P35</f>
        <v>0.70799999999999996</v>
      </c>
      <c r="Q46" s="32">
        <f t="shared" si="10"/>
        <v>0.66099999999999992</v>
      </c>
      <c r="R46" s="32">
        <f t="shared" si="10"/>
        <v>0.65399999999999991</v>
      </c>
      <c r="S46" s="33">
        <f t="shared" si="10"/>
        <v>0.70399999999999996</v>
      </c>
      <c r="T46" s="33">
        <f t="shared" si="10"/>
        <v>0.69</v>
      </c>
      <c r="U46" s="33">
        <f t="shared" si="10"/>
        <v>0.752</v>
      </c>
      <c r="V46" s="32">
        <f t="shared" si="10"/>
        <v>0.69299999999999995</v>
      </c>
      <c r="W46" s="32">
        <f t="shared" si="10"/>
        <v>0.67899999999999994</v>
      </c>
      <c r="X46" s="32">
        <f t="shared" si="10"/>
        <v>0.629</v>
      </c>
      <c r="Y46" s="36">
        <f t="shared" si="10"/>
        <v>6.9999999999999993E-3</v>
      </c>
      <c r="Z46" s="34">
        <f t="shared" si="10"/>
        <v>5.0999999999999997E-2</v>
      </c>
      <c r="AA46" s="34">
        <f t="shared" si="10"/>
        <v>4.2000000000000003E-2</v>
      </c>
    </row>
    <row r="47" spans="1:27" x14ac:dyDescent="0.25">
      <c r="B47" s="71"/>
      <c r="C47" s="71"/>
      <c r="D47" s="71"/>
      <c r="E47" s="71"/>
      <c r="F47" s="71"/>
      <c r="G47" s="71"/>
      <c r="H47" s="71"/>
      <c r="I47" s="71"/>
      <c r="J47" s="71"/>
      <c r="K47" s="72">
        <f>AVERAGE(K45,K46)</f>
        <v>5.9999999999999984E-3</v>
      </c>
      <c r="L47" s="71"/>
      <c r="M47" s="71"/>
      <c r="Y47" s="86">
        <f>AVERAGE(Y45,Y46)</f>
        <v>6.5000000000000023E-3</v>
      </c>
    </row>
    <row r="48" spans="1:27" x14ac:dyDescent="0.25"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</row>
    <row r="49" spans="1:27" x14ac:dyDescent="0.25"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</row>
    <row r="50" spans="1:27" x14ac:dyDescent="0.25">
      <c r="A50" s="37" t="s">
        <v>49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O50" s="37" t="s">
        <v>49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x14ac:dyDescent="0.25">
      <c r="A51" s="8"/>
      <c r="B51" s="10">
        <v>1</v>
      </c>
      <c r="C51" s="10">
        <v>2</v>
      </c>
      <c r="D51" s="10">
        <v>3</v>
      </c>
      <c r="E51" s="11">
        <v>4</v>
      </c>
      <c r="F51" s="11">
        <v>5</v>
      </c>
      <c r="G51" s="11">
        <v>6</v>
      </c>
      <c r="H51" s="10">
        <v>7</v>
      </c>
      <c r="I51" s="10">
        <v>8</v>
      </c>
      <c r="J51" s="10">
        <v>9</v>
      </c>
      <c r="K51" s="12">
        <v>10</v>
      </c>
      <c r="L51" s="12">
        <v>11</v>
      </c>
      <c r="M51" s="12">
        <v>12</v>
      </c>
      <c r="O51" s="8"/>
      <c r="P51" s="10">
        <v>1</v>
      </c>
      <c r="Q51" s="10">
        <v>2</v>
      </c>
      <c r="R51" s="10">
        <v>3</v>
      </c>
      <c r="S51" s="11">
        <v>4</v>
      </c>
      <c r="T51" s="11">
        <v>5</v>
      </c>
      <c r="U51" s="11">
        <v>6</v>
      </c>
      <c r="V51" s="10">
        <v>7</v>
      </c>
      <c r="W51" s="10">
        <v>8</v>
      </c>
      <c r="X51" s="10">
        <v>9</v>
      </c>
      <c r="Y51" s="12">
        <v>10</v>
      </c>
      <c r="Z51" s="12">
        <v>11</v>
      </c>
      <c r="AA51" s="12">
        <v>12</v>
      </c>
    </row>
    <row r="52" spans="1:27" x14ac:dyDescent="0.25">
      <c r="A52" s="9" t="s">
        <v>0</v>
      </c>
      <c r="B52" s="73">
        <f t="shared" ref="B52:H52" si="11">B39-$K$47</f>
        <v>0.70199999999999996</v>
      </c>
      <c r="C52" s="73">
        <f t="shared" si="11"/>
        <v>0.53299999999999992</v>
      </c>
      <c r="D52" s="73">
        <f t="shared" si="11"/>
        <v>0.56399999999999995</v>
      </c>
      <c r="E52" s="74">
        <f t="shared" si="11"/>
        <v>0.63800000000000001</v>
      </c>
      <c r="F52" s="74">
        <f t="shared" si="11"/>
        <v>0.627</v>
      </c>
      <c r="G52" s="74">
        <f t="shared" si="11"/>
        <v>0.55999999999999994</v>
      </c>
      <c r="H52" s="73">
        <f t="shared" si="11"/>
        <v>0.56299999999999994</v>
      </c>
      <c r="I52" s="73">
        <f>I39-$K$47</f>
        <v>0.61199999999999999</v>
      </c>
      <c r="J52" s="73">
        <f>J39-$K$47</f>
        <v>0.61799999999999999</v>
      </c>
      <c r="K52" s="90">
        <f>K39-$K$47</f>
        <v>0.34600000000000003</v>
      </c>
      <c r="L52" s="75">
        <f>L39-$K$47</f>
        <v>0.69399999999999995</v>
      </c>
      <c r="M52" s="75">
        <f>M39-$K$47</f>
        <v>0.67999999999999994</v>
      </c>
      <c r="O52" s="9" t="s">
        <v>0</v>
      </c>
      <c r="P52" s="42">
        <f>P39-$Y$47</f>
        <v>0.62650000000000006</v>
      </c>
      <c r="Q52" s="42">
        <f t="shared" ref="Q52:AA52" si="12">Q39-$Y$47</f>
        <v>0.58750000000000002</v>
      </c>
      <c r="R52" s="42">
        <f t="shared" si="12"/>
        <v>0.53049999999999997</v>
      </c>
      <c r="S52" s="64">
        <f t="shared" si="12"/>
        <v>0.66349999999999998</v>
      </c>
      <c r="T52" s="64">
        <f t="shared" si="12"/>
        <v>0.63550000000000006</v>
      </c>
      <c r="U52" s="64">
        <f t="shared" si="12"/>
        <v>0.67949999999999999</v>
      </c>
      <c r="V52" s="42">
        <f t="shared" si="12"/>
        <v>0.42449999999999999</v>
      </c>
      <c r="W52" s="42">
        <f t="shared" si="12"/>
        <v>0.46450000000000002</v>
      </c>
      <c r="X52" s="42">
        <f t="shared" si="12"/>
        <v>0.50050000000000006</v>
      </c>
      <c r="Y52" s="60">
        <f t="shared" si="12"/>
        <v>1.7499999999999998E-2</v>
      </c>
      <c r="Z52" s="60">
        <f t="shared" si="12"/>
        <v>0.8095</v>
      </c>
      <c r="AA52" s="60">
        <f t="shared" si="12"/>
        <v>0.73550000000000004</v>
      </c>
    </row>
    <row r="53" spans="1:27" x14ac:dyDescent="0.25">
      <c r="A53" s="9" t="s">
        <v>1</v>
      </c>
      <c r="B53" s="73">
        <f t="shared" ref="B53:M59" si="13">B40-$K$47</f>
        <v>0.56899999999999995</v>
      </c>
      <c r="C53" s="73">
        <f t="shared" si="13"/>
        <v>0.53399999999999992</v>
      </c>
      <c r="D53" s="73">
        <f t="shared" si="13"/>
        <v>0.44</v>
      </c>
      <c r="E53" s="74">
        <f t="shared" si="13"/>
        <v>0.63300000000000001</v>
      </c>
      <c r="F53" s="74">
        <f t="shared" si="13"/>
        <v>0.495</v>
      </c>
      <c r="G53" s="74">
        <f t="shared" si="13"/>
        <v>0.501</v>
      </c>
      <c r="H53" s="73">
        <f t="shared" si="13"/>
        <v>0.499</v>
      </c>
      <c r="I53" s="73">
        <f t="shared" si="13"/>
        <v>0.53699999999999992</v>
      </c>
      <c r="J53" s="73">
        <f t="shared" si="13"/>
        <v>0.59899999999999998</v>
      </c>
      <c r="K53" s="90">
        <f t="shared" si="13"/>
        <v>7.400000000000001E-2</v>
      </c>
      <c r="L53" s="75">
        <f t="shared" si="13"/>
        <v>0.622</v>
      </c>
      <c r="M53" s="75">
        <f t="shared" si="13"/>
        <v>0.59299999999999997</v>
      </c>
      <c r="O53" s="9" t="s">
        <v>1</v>
      </c>
      <c r="P53" s="42">
        <f t="shared" ref="P53:Y53" si="14">P40-$Y$47</f>
        <v>0.61250000000000004</v>
      </c>
      <c r="Q53" s="42">
        <f t="shared" si="14"/>
        <v>0.57650000000000001</v>
      </c>
      <c r="R53" s="42">
        <f t="shared" si="14"/>
        <v>0.53749999999999998</v>
      </c>
      <c r="S53" s="64">
        <f t="shared" si="14"/>
        <v>0.47250000000000003</v>
      </c>
      <c r="T53" s="64">
        <f t="shared" si="14"/>
        <v>0.45150000000000001</v>
      </c>
      <c r="U53" s="64">
        <f t="shared" si="14"/>
        <v>0.47950000000000004</v>
      </c>
      <c r="V53" s="42">
        <f t="shared" si="14"/>
        <v>0.45150000000000001</v>
      </c>
      <c r="W53" s="42">
        <f t="shared" si="14"/>
        <v>0.51250000000000007</v>
      </c>
      <c r="X53" s="42">
        <f t="shared" si="14"/>
        <v>0.5615</v>
      </c>
      <c r="Y53" s="60">
        <f t="shared" si="14"/>
        <v>7.5000000000000032E-3</v>
      </c>
      <c r="Z53" s="60">
        <f>Z40-$Y$47</f>
        <v>0.63950000000000007</v>
      </c>
      <c r="AA53" s="60">
        <f>AA40-$Y$47</f>
        <v>0.66349999999999998</v>
      </c>
    </row>
    <row r="54" spans="1:27" x14ac:dyDescent="0.25">
      <c r="A54" s="9" t="s">
        <v>2</v>
      </c>
      <c r="B54" s="73">
        <f t="shared" si="13"/>
        <v>0.59199999999999997</v>
      </c>
      <c r="C54" s="73">
        <f t="shared" si="13"/>
        <v>0.54899999999999993</v>
      </c>
      <c r="D54" s="73">
        <f t="shared" si="13"/>
        <v>0.45700000000000002</v>
      </c>
      <c r="E54" s="74">
        <f t="shared" si="13"/>
        <v>0.53599999999999992</v>
      </c>
      <c r="F54" s="74">
        <f t="shared" si="13"/>
        <v>0.54599999999999993</v>
      </c>
      <c r="G54" s="74">
        <f t="shared" si="13"/>
        <v>0.44900000000000001</v>
      </c>
      <c r="H54" s="73">
        <f t="shared" si="13"/>
        <v>0.42399999999999999</v>
      </c>
      <c r="I54" s="73">
        <f>I41-$K$47</f>
        <v>0.55399999999999994</v>
      </c>
      <c r="J54" s="73">
        <f t="shared" si="13"/>
        <v>0.59499999999999997</v>
      </c>
      <c r="K54" s="90">
        <f t="shared" si="13"/>
        <v>0.54199999999999993</v>
      </c>
      <c r="L54" s="75">
        <f t="shared" si="13"/>
        <v>0.51100000000000001</v>
      </c>
      <c r="M54" s="75">
        <f t="shared" si="13"/>
        <v>0.50600000000000001</v>
      </c>
      <c r="O54" s="9" t="s">
        <v>2</v>
      </c>
      <c r="P54" s="42">
        <f t="shared" ref="P54:AA54" si="15">P41-$Y$47</f>
        <v>0.64349999999999996</v>
      </c>
      <c r="Q54" s="42">
        <f t="shared" si="15"/>
        <v>0.58250000000000002</v>
      </c>
      <c r="R54" s="42">
        <f t="shared" si="15"/>
        <v>0.52849999999999997</v>
      </c>
      <c r="S54" s="64">
        <f t="shared" si="15"/>
        <v>0.34950000000000003</v>
      </c>
      <c r="T54" s="64">
        <f t="shared" si="15"/>
        <v>0.3155</v>
      </c>
      <c r="U54" s="64">
        <f t="shared" si="15"/>
        <v>0.33450000000000002</v>
      </c>
      <c r="V54" s="42">
        <f t="shared" si="15"/>
        <v>0.5615</v>
      </c>
      <c r="W54" s="42">
        <f t="shared" si="15"/>
        <v>0.57750000000000001</v>
      </c>
      <c r="X54" s="42">
        <f t="shared" si="15"/>
        <v>0.61150000000000004</v>
      </c>
      <c r="Y54" s="60">
        <f t="shared" si="15"/>
        <v>1.7499999999999998E-2</v>
      </c>
      <c r="Z54" s="60">
        <f t="shared" si="15"/>
        <v>0.53149999999999997</v>
      </c>
      <c r="AA54" s="60">
        <f t="shared" si="15"/>
        <v>0.4975</v>
      </c>
    </row>
    <row r="55" spans="1:27" x14ac:dyDescent="0.25">
      <c r="A55" s="9" t="s">
        <v>3</v>
      </c>
      <c r="B55" s="76">
        <f t="shared" si="13"/>
        <v>0.6419999999999999</v>
      </c>
      <c r="C55" s="73">
        <f t="shared" si="13"/>
        <v>0.67599999999999993</v>
      </c>
      <c r="D55" s="73">
        <f t="shared" si="13"/>
        <v>0.47900000000000004</v>
      </c>
      <c r="E55" s="91">
        <f t="shared" si="13"/>
        <v>0.16199999999999998</v>
      </c>
      <c r="F55" s="91">
        <f t="shared" si="13"/>
        <v>0.16399999999999998</v>
      </c>
      <c r="G55" s="91">
        <f t="shared" si="13"/>
        <v>0.151</v>
      </c>
      <c r="H55" s="73">
        <f t="shared" si="13"/>
        <v>0.59399999999999997</v>
      </c>
      <c r="I55" s="73">
        <f>I42-$K$47</f>
        <v>0.45200000000000001</v>
      </c>
      <c r="J55" s="73">
        <f t="shared" si="13"/>
        <v>0.60899999999999999</v>
      </c>
      <c r="K55" s="90">
        <f t="shared" si="13"/>
        <v>0.12599999999999997</v>
      </c>
      <c r="L55" s="75">
        <f t="shared" si="13"/>
        <v>0.41000000000000003</v>
      </c>
      <c r="M55" s="75">
        <f t="shared" si="13"/>
        <v>0.38700000000000001</v>
      </c>
      <c r="O55" s="9" t="s">
        <v>3</v>
      </c>
      <c r="P55" s="42">
        <f t="shared" ref="P55:AA55" si="16">P42-$Y$47</f>
        <v>0.66249999999999998</v>
      </c>
      <c r="Q55" s="42">
        <f t="shared" si="16"/>
        <v>0.61150000000000004</v>
      </c>
      <c r="R55" s="42">
        <f t="shared" si="16"/>
        <v>0.58350000000000002</v>
      </c>
      <c r="S55" s="64">
        <f t="shared" si="16"/>
        <v>0.53149999999999997</v>
      </c>
      <c r="T55" s="64">
        <f t="shared" si="16"/>
        <v>0.4995</v>
      </c>
      <c r="U55" s="64">
        <f t="shared" si="16"/>
        <v>0.50650000000000006</v>
      </c>
      <c r="V55" s="42">
        <f t="shared" si="16"/>
        <v>0.65349999999999997</v>
      </c>
      <c r="W55" s="42">
        <f t="shared" si="16"/>
        <v>0.59250000000000003</v>
      </c>
      <c r="X55" s="42">
        <f t="shared" si="16"/>
        <v>0.58850000000000002</v>
      </c>
      <c r="Y55" s="60">
        <f t="shared" si="16"/>
        <v>7.5000000000000032E-3</v>
      </c>
      <c r="Z55" s="60">
        <f t="shared" si="16"/>
        <v>0.42150000000000004</v>
      </c>
      <c r="AA55" s="60">
        <f t="shared" si="16"/>
        <v>0.3755</v>
      </c>
    </row>
    <row r="56" spans="1:27" x14ac:dyDescent="0.25">
      <c r="A56" s="9" t="s">
        <v>4</v>
      </c>
      <c r="B56" s="73">
        <f t="shared" si="13"/>
        <v>0.61299999999999999</v>
      </c>
      <c r="C56" s="73">
        <f t="shared" si="13"/>
        <v>0.61499999999999999</v>
      </c>
      <c r="D56" s="73">
        <f t="shared" si="13"/>
        <v>0.45800000000000002</v>
      </c>
      <c r="E56" s="74">
        <f t="shared" si="13"/>
        <v>0.42799999999999999</v>
      </c>
      <c r="F56" s="74">
        <f t="shared" si="13"/>
        <v>0.55099999999999993</v>
      </c>
      <c r="G56" s="74">
        <f t="shared" si="13"/>
        <v>0.50600000000000001</v>
      </c>
      <c r="H56" s="73">
        <f t="shared" si="13"/>
        <v>0.45200000000000001</v>
      </c>
      <c r="I56" s="73">
        <f t="shared" si="13"/>
        <v>0.46300000000000002</v>
      </c>
      <c r="J56" s="73">
        <f t="shared" si="13"/>
        <v>0.60599999999999998</v>
      </c>
      <c r="K56" s="77">
        <f t="shared" si="13"/>
        <v>-2.9999999999999957E-3</v>
      </c>
      <c r="L56" s="75">
        <f t="shared" si="13"/>
        <v>0.26700000000000002</v>
      </c>
      <c r="M56" s="75">
        <f t="shared" si="13"/>
        <v>0.17699999999999999</v>
      </c>
      <c r="O56" s="9" t="s">
        <v>4</v>
      </c>
      <c r="P56" s="42">
        <f t="shared" ref="P56:AA56" si="17">P43-$Y$47</f>
        <v>0.5615</v>
      </c>
      <c r="Q56" s="42">
        <f t="shared" si="17"/>
        <v>0.52049999999999996</v>
      </c>
      <c r="R56" s="42">
        <f>R43-$Y$47</f>
        <v>0.48050000000000004</v>
      </c>
      <c r="S56" s="64">
        <f t="shared" si="17"/>
        <v>0.54049999999999998</v>
      </c>
      <c r="T56" s="64">
        <f t="shared" si="17"/>
        <v>0.54949999999999999</v>
      </c>
      <c r="U56" s="64">
        <f t="shared" si="17"/>
        <v>0.53049999999999997</v>
      </c>
      <c r="V56" s="42">
        <f t="shared" si="17"/>
        <v>0.49050000000000005</v>
      </c>
      <c r="W56" s="42">
        <f t="shared" si="17"/>
        <v>0.47650000000000003</v>
      </c>
      <c r="X56" s="42">
        <f t="shared" si="17"/>
        <v>0.52149999999999996</v>
      </c>
      <c r="Y56" s="43">
        <f t="shared" si="17"/>
        <v>-1.4999999999999979E-3</v>
      </c>
      <c r="Z56" s="60">
        <f t="shared" si="17"/>
        <v>0.23450000000000001</v>
      </c>
      <c r="AA56" s="60">
        <f t="shared" si="17"/>
        <v>0.2235</v>
      </c>
    </row>
    <row r="57" spans="1:27" x14ac:dyDescent="0.25">
      <c r="A57" s="9" t="s">
        <v>5</v>
      </c>
      <c r="B57" s="73">
        <f t="shared" si="13"/>
        <v>0.45200000000000001</v>
      </c>
      <c r="C57" s="73">
        <f t="shared" si="13"/>
        <v>0.44</v>
      </c>
      <c r="D57" s="73">
        <f t="shared" si="13"/>
        <v>0.36199999999999999</v>
      </c>
      <c r="E57" s="74">
        <f t="shared" si="13"/>
        <v>0.60799999999999998</v>
      </c>
      <c r="F57" s="74">
        <f t="shared" si="13"/>
        <v>0.45700000000000002</v>
      </c>
      <c r="G57" s="74">
        <f t="shared" si="13"/>
        <v>0.432</v>
      </c>
      <c r="H57" s="73">
        <f t="shared" si="13"/>
        <v>0.58599999999999997</v>
      </c>
      <c r="I57" s="73">
        <f t="shared" si="13"/>
        <v>0.59399999999999997</v>
      </c>
      <c r="J57" s="73">
        <f t="shared" si="13"/>
        <v>0.61599999999999999</v>
      </c>
      <c r="K57" s="77">
        <f t="shared" si="13"/>
        <v>-2.9999999999999957E-3</v>
      </c>
      <c r="L57" s="75">
        <f t="shared" si="13"/>
        <v>0.157</v>
      </c>
      <c r="M57" s="75">
        <f t="shared" si="13"/>
        <v>0.12</v>
      </c>
      <c r="O57" s="9" t="s">
        <v>5</v>
      </c>
      <c r="P57" s="42">
        <f t="shared" ref="P57:AA57" si="18">P44-$Y$47</f>
        <v>0.71150000000000002</v>
      </c>
      <c r="Q57" s="42">
        <f t="shared" si="18"/>
        <v>0.67949999999999999</v>
      </c>
      <c r="R57" s="42">
        <f t="shared" si="18"/>
        <v>0.67649999999999999</v>
      </c>
      <c r="S57" s="64">
        <f t="shared" si="18"/>
        <v>0.58350000000000002</v>
      </c>
      <c r="T57" s="64">
        <f t="shared" si="18"/>
        <v>0.52449999999999997</v>
      </c>
      <c r="U57" s="64">
        <f t="shared" si="18"/>
        <v>0.66949999999999998</v>
      </c>
      <c r="V57" s="42">
        <f t="shared" si="18"/>
        <v>0.47649999999999998</v>
      </c>
      <c r="W57" s="42">
        <f t="shared" si="18"/>
        <v>0.58750000000000002</v>
      </c>
      <c r="X57" s="42">
        <f t="shared" si="18"/>
        <v>0.56850000000000001</v>
      </c>
      <c r="Y57" s="43">
        <f t="shared" si="18"/>
        <v>-1.4999999999999979E-3</v>
      </c>
      <c r="Z57" s="60">
        <f t="shared" si="18"/>
        <v>0.14149999999999999</v>
      </c>
      <c r="AA57" s="60">
        <f t="shared" si="18"/>
        <v>0.1575</v>
      </c>
    </row>
    <row r="58" spans="1:27" x14ac:dyDescent="0.25">
      <c r="A58" s="9" t="s">
        <v>6</v>
      </c>
      <c r="B58" s="73">
        <f t="shared" si="13"/>
        <v>0.73799999999999999</v>
      </c>
      <c r="C58" s="73">
        <f t="shared" si="13"/>
        <v>0.66599999999999993</v>
      </c>
      <c r="D58" s="73">
        <f t="shared" si="13"/>
        <v>0.628</v>
      </c>
      <c r="E58" s="74">
        <f t="shared" si="13"/>
        <v>0.71099999999999997</v>
      </c>
      <c r="F58" s="74">
        <f t="shared" si="13"/>
        <v>0.624</v>
      </c>
      <c r="G58" s="74">
        <f t="shared" si="13"/>
        <v>0.53699999999999992</v>
      </c>
      <c r="H58" s="73">
        <f t="shared" si="13"/>
        <v>0.51900000000000002</v>
      </c>
      <c r="I58" s="73">
        <f t="shared" si="13"/>
        <v>0.74299999999999999</v>
      </c>
      <c r="J58" s="73">
        <f t="shared" si="13"/>
        <v>0.69</v>
      </c>
      <c r="K58" s="78">
        <f t="shared" si="13"/>
        <v>0</v>
      </c>
      <c r="L58" s="75">
        <f t="shared" si="13"/>
        <v>8.3999999999999991E-2</v>
      </c>
      <c r="M58" s="75">
        <f t="shared" si="13"/>
        <v>6.2000000000000006E-2</v>
      </c>
      <c r="O58" s="9" t="s">
        <v>6</v>
      </c>
      <c r="P58" s="42">
        <f t="shared" ref="P58:AA58" si="19">P45-$Y$47</f>
        <v>0.72050000000000003</v>
      </c>
      <c r="Q58" s="42">
        <f t="shared" si="19"/>
        <v>0.69850000000000001</v>
      </c>
      <c r="R58" s="42">
        <f t="shared" si="19"/>
        <v>0.64250000000000007</v>
      </c>
      <c r="S58" s="64">
        <f t="shared" si="19"/>
        <v>0.58250000000000002</v>
      </c>
      <c r="T58" s="64">
        <f t="shared" si="19"/>
        <v>0.57150000000000001</v>
      </c>
      <c r="U58" s="64">
        <f t="shared" si="19"/>
        <v>0.64050000000000007</v>
      </c>
      <c r="V58" s="42">
        <f t="shared" si="19"/>
        <v>0.63550000000000006</v>
      </c>
      <c r="W58" s="42">
        <f t="shared" si="19"/>
        <v>0.72850000000000004</v>
      </c>
      <c r="X58" s="42">
        <f t="shared" si="19"/>
        <v>0.6905</v>
      </c>
      <c r="Y58" s="44">
        <f t="shared" si="19"/>
        <v>-4.9999999999999697E-4</v>
      </c>
      <c r="Z58" s="60">
        <f t="shared" si="19"/>
        <v>7.0500000000000007E-2</v>
      </c>
      <c r="AA58" s="60">
        <f t="shared" si="19"/>
        <v>6.8500000000000005E-2</v>
      </c>
    </row>
    <row r="59" spans="1:27" x14ac:dyDescent="0.25">
      <c r="A59" s="9" t="s">
        <v>7</v>
      </c>
      <c r="B59" s="73">
        <f t="shared" si="13"/>
        <v>0.75800000000000001</v>
      </c>
      <c r="C59" s="73">
        <f t="shared" si="13"/>
        <v>0.77399999999999991</v>
      </c>
      <c r="D59" s="73">
        <f t="shared" si="13"/>
        <v>0.622</v>
      </c>
      <c r="E59" s="74">
        <f t="shared" si="13"/>
        <v>0.79299999999999993</v>
      </c>
      <c r="F59" s="74">
        <f t="shared" si="13"/>
        <v>0.64499999999999991</v>
      </c>
      <c r="G59" s="74">
        <f t="shared" si="13"/>
        <v>0.65200000000000002</v>
      </c>
      <c r="H59" s="73">
        <f t="shared" si="13"/>
        <v>0.65399999999999991</v>
      </c>
      <c r="I59" s="73">
        <f t="shared" si="13"/>
        <v>0.59699999999999998</v>
      </c>
      <c r="J59" s="73">
        <f t="shared" si="13"/>
        <v>0.77099999999999991</v>
      </c>
      <c r="K59" s="78">
        <f t="shared" si="13"/>
        <v>0</v>
      </c>
      <c r="L59" s="75">
        <f t="shared" si="13"/>
        <v>3.8000000000000006E-2</v>
      </c>
      <c r="M59" s="75">
        <f t="shared" si="13"/>
        <v>2.3000000000000007E-2</v>
      </c>
      <c r="O59" s="9" t="s">
        <v>7</v>
      </c>
      <c r="P59" s="42">
        <f t="shared" ref="P59:AA59" si="20">P46-$Y$47</f>
        <v>0.70150000000000001</v>
      </c>
      <c r="Q59" s="42">
        <f t="shared" si="20"/>
        <v>0.65449999999999997</v>
      </c>
      <c r="R59" s="42">
        <f t="shared" si="20"/>
        <v>0.64749999999999996</v>
      </c>
      <c r="S59" s="64">
        <f t="shared" si="20"/>
        <v>0.69750000000000001</v>
      </c>
      <c r="T59" s="64">
        <f t="shared" si="20"/>
        <v>0.6835</v>
      </c>
      <c r="U59" s="64">
        <f t="shared" si="20"/>
        <v>0.74550000000000005</v>
      </c>
      <c r="V59" s="42">
        <f t="shared" si="20"/>
        <v>0.6865</v>
      </c>
      <c r="W59" s="42">
        <f t="shared" si="20"/>
        <v>0.67249999999999999</v>
      </c>
      <c r="X59" s="42">
        <f t="shared" si="20"/>
        <v>0.62250000000000005</v>
      </c>
      <c r="Y59" s="44">
        <f t="shared" si="20"/>
        <v>4.9999999999999697E-4</v>
      </c>
      <c r="Z59" s="60">
        <f t="shared" si="20"/>
        <v>4.4499999999999998E-2</v>
      </c>
      <c r="AA59" s="60">
        <f t="shared" si="20"/>
        <v>3.5500000000000004E-2</v>
      </c>
    </row>
    <row r="60" spans="1:27" x14ac:dyDescent="0.25"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</row>
    <row r="61" spans="1:27" x14ac:dyDescent="0.25"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</row>
    <row r="62" spans="1:27" x14ac:dyDescent="0.25"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</row>
    <row r="63" spans="1:27" x14ac:dyDescent="0.25">
      <c r="A63" s="37" t="s">
        <v>52</v>
      </c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O63" s="37" t="s">
        <v>52</v>
      </c>
    </row>
    <row r="64" spans="1:27" x14ac:dyDescent="0.25">
      <c r="A64" s="8"/>
      <c r="B64" s="10">
        <v>1</v>
      </c>
      <c r="C64" s="10">
        <v>2</v>
      </c>
      <c r="D64" s="10">
        <v>3</v>
      </c>
      <c r="E64" s="11">
        <v>4</v>
      </c>
      <c r="F64" s="11">
        <v>5</v>
      </c>
      <c r="G64" s="11">
        <v>6</v>
      </c>
      <c r="H64" s="10">
        <v>7</v>
      </c>
      <c r="I64" s="10">
        <v>8</v>
      </c>
      <c r="J64" s="10">
        <v>9</v>
      </c>
      <c r="K64" s="12">
        <v>10</v>
      </c>
      <c r="L64" s="12">
        <v>11</v>
      </c>
      <c r="M64" s="12">
        <v>12</v>
      </c>
      <c r="O64" s="8"/>
      <c r="P64" s="10">
        <v>1</v>
      </c>
      <c r="Q64" s="10">
        <v>2</v>
      </c>
      <c r="R64" s="10">
        <v>3</v>
      </c>
      <c r="S64" s="11">
        <v>4</v>
      </c>
      <c r="T64" s="11">
        <v>5</v>
      </c>
      <c r="U64" s="11">
        <v>6</v>
      </c>
      <c r="V64" s="10">
        <v>7</v>
      </c>
      <c r="W64" s="10">
        <v>8</v>
      </c>
      <c r="X64" s="10">
        <v>9</v>
      </c>
      <c r="Y64" s="12">
        <v>10</v>
      </c>
      <c r="Z64" s="12">
        <v>11</v>
      </c>
      <c r="AA64" s="12">
        <v>12</v>
      </c>
    </row>
    <row r="65" spans="1:27" x14ac:dyDescent="0.25">
      <c r="A65" s="9" t="s">
        <v>0</v>
      </c>
      <c r="B65" s="105">
        <f>_xlfn.STDEV.S(B52:D52)</f>
        <v>8.9968513010570558E-2</v>
      </c>
      <c r="C65" s="105"/>
      <c r="D65" s="105"/>
      <c r="E65" s="106">
        <f>_xlfn.STDEV.S(E52:G52)</f>
        <v>4.2217689815210596E-2</v>
      </c>
      <c r="F65" s="106"/>
      <c r="G65" s="106"/>
      <c r="H65" s="105">
        <f>_xlfn.STDEV.S(H52:J52)</f>
        <v>3.0171730698343027E-2</v>
      </c>
      <c r="I65" s="105"/>
      <c r="J65" s="105"/>
      <c r="K65" s="59">
        <f>_xlfn.STDEV.S(K52,K54)</f>
        <v>0.13859292911256352</v>
      </c>
      <c r="L65" s="107">
        <f>_xlfn.STDEV.S(L52:M52)</f>
        <v>9.8994949366116736E-3</v>
      </c>
      <c r="M65" s="107"/>
      <c r="O65" s="9" t="s">
        <v>0</v>
      </c>
      <c r="P65" s="105">
        <f>_xlfn.STDEV.S(P52:R52)</f>
        <v>4.8280430818293286E-2</v>
      </c>
      <c r="Q65" s="105"/>
      <c r="R65" s="105"/>
      <c r="S65" s="106">
        <f>_xlfn.STDEV.S(S52:U52)</f>
        <v>2.2271057451320048E-2</v>
      </c>
      <c r="T65" s="106"/>
      <c r="U65" s="106"/>
      <c r="V65" s="105">
        <f>_xlfn.STDEV.S(V52:X52)</f>
        <v>3.8017539811688705E-2</v>
      </c>
      <c r="W65" s="105"/>
      <c r="X65" s="105"/>
      <c r="Y65" s="59">
        <f>_xlfn.STDEV.S(Y52,Y54)</f>
        <v>0</v>
      </c>
      <c r="Z65" s="107">
        <f>_xlfn.STDEV.S(Z52:AA52)</f>
        <v>5.2325901807804484E-2</v>
      </c>
      <c r="AA65" s="107"/>
    </row>
    <row r="66" spans="1:27" x14ac:dyDescent="0.25">
      <c r="A66" s="9" t="s">
        <v>1</v>
      </c>
      <c r="B66" s="105">
        <f t="shared" ref="B66:B72" si="21">_xlfn.STDEV.S(B53:D53)</f>
        <v>6.671081871281033E-2</v>
      </c>
      <c r="C66" s="105"/>
      <c r="D66" s="105"/>
      <c r="E66" s="106">
        <f t="shared" ref="E66:E72" si="22">_xlfn.STDEV.S(E53:G53)</f>
        <v>7.7999999999999861E-2</v>
      </c>
      <c r="F66" s="106"/>
      <c r="G66" s="106"/>
      <c r="H66" s="105">
        <f t="shared" ref="H66:H72" si="23">_xlfn.STDEV.S(H53:J53)</f>
        <v>5.0477717856495845E-2</v>
      </c>
      <c r="I66" s="105"/>
      <c r="J66" s="105"/>
      <c r="K66" s="59"/>
      <c r="L66" s="107">
        <f>_xlfn.STDEV.S(L53:M53)</f>
        <v>2.0506096654409896E-2</v>
      </c>
      <c r="M66" s="107"/>
      <c r="O66" s="9" t="s">
        <v>1</v>
      </c>
      <c r="P66" s="105">
        <f>_xlfn.STDEV.S(P53:R53)</f>
        <v>3.7509998667022135E-2</v>
      </c>
      <c r="Q66" s="105"/>
      <c r="R66" s="105"/>
      <c r="S66" s="106">
        <f>_xlfn.STDEV.S(S53:U53)</f>
        <v>1.4571661996262942E-2</v>
      </c>
      <c r="T66" s="106"/>
      <c r="U66" s="106"/>
      <c r="V66" s="105">
        <f>_xlfn.STDEV.S(V53:X53)</f>
        <v>5.5108982933819418E-2</v>
      </c>
      <c r="W66" s="105"/>
      <c r="X66" s="105"/>
      <c r="Y66" s="59"/>
      <c r="Z66" s="107">
        <f>_xlfn.STDEV.S(Z53:AA53)</f>
        <v>1.6970562748477077E-2</v>
      </c>
      <c r="AA66" s="107"/>
    </row>
    <row r="67" spans="1:27" x14ac:dyDescent="0.25">
      <c r="A67" s="9" t="s">
        <v>2</v>
      </c>
      <c r="B67" s="105">
        <f t="shared" si="21"/>
        <v>6.8966175284216336E-2</v>
      </c>
      <c r="C67" s="105"/>
      <c r="D67" s="105"/>
      <c r="E67" s="106">
        <f t="shared" si="22"/>
        <v>5.3351038727782317E-2</v>
      </c>
      <c r="F67" s="106"/>
      <c r="G67" s="106"/>
      <c r="H67" s="105">
        <f t="shared" si="23"/>
        <v>8.9276723356837534E-2</v>
      </c>
      <c r="I67" s="105"/>
      <c r="J67" s="105"/>
      <c r="K67" s="61">
        <f>_xlfn.STDEV.S(K53,K55)</f>
        <v>3.6769552621700459E-2</v>
      </c>
      <c r="L67" s="107">
        <f t="shared" ref="L67:L72" si="24">_xlfn.STDEV.S(L54:M54)</f>
        <v>3.5355339059327407E-3</v>
      </c>
      <c r="M67" s="107"/>
      <c r="O67" s="9" t="s">
        <v>2</v>
      </c>
      <c r="P67" s="105">
        <f t="shared" ref="P67:P72" si="25">_xlfn.STDEV.S(P54:R54)</f>
        <v>5.7535496289971573E-2</v>
      </c>
      <c r="Q67" s="105"/>
      <c r="R67" s="105"/>
      <c r="S67" s="106">
        <f t="shared" ref="S67:S72" si="26">_xlfn.STDEV.S(S54:U54)</f>
        <v>1.703917055884276E-2</v>
      </c>
      <c r="T67" s="106"/>
      <c r="U67" s="106"/>
      <c r="V67" s="105">
        <f t="shared" ref="V67:V72" si="27">_xlfn.STDEV.S(V54:X54)</f>
        <v>2.553429066960743E-2</v>
      </c>
      <c r="W67" s="105"/>
      <c r="X67" s="105"/>
      <c r="Y67" s="61">
        <f>_xlfn.STDEV.S(Y53,Y55)</f>
        <v>0</v>
      </c>
      <c r="Z67" s="107">
        <f t="shared" ref="Z67:Z72" si="28">_xlfn.STDEV.S(Z54:AA54)</f>
        <v>2.4041630560342597E-2</v>
      </c>
      <c r="AA67" s="107"/>
    </row>
    <row r="68" spans="1:27" x14ac:dyDescent="0.25">
      <c r="A68" s="9" t="s">
        <v>3</v>
      </c>
      <c r="B68" s="105">
        <f t="shared" si="21"/>
        <v>0.10530432089900213</v>
      </c>
      <c r="C68" s="105"/>
      <c r="D68" s="105"/>
      <c r="E68" s="106">
        <f t="shared" si="22"/>
        <v>6.9999999999999906E-3</v>
      </c>
      <c r="F68" s="106"/>
      <c r="G68" s="106"/>
      <c r="H68" s="105">
        <f t="shared" si="23"/>
        <v>8.6639098179362883E-2</v>
      </c>
      <c r="I68" s="105"/>
      <c r="J68" s="105"/>
      <c r="K68" s="59"/>
      <c r="L68" s="107">
        <f>_xlfn.STDEV.S(L55:M55)</f>
        <v>1.6263455967290608E-2</v>
      </c>
      <c r="M68" s="107"/>
      <c r="O68" s="9" t="s">
        <v>3</v>
      </c>
      <c r="P68" s="105">
        <f t="shared" si="25"/>
        <v>4.0054130040900041E-2</v>
      </c>
      <c r="Q68" s="105"/>
      <c r="R68" s="105"/>
      <c r="S68" s="106">
        <f t="shared" si="26"/>
        <v>1.6822603841260695E-2</v>
      </c>
      <c r="T68" s="106"/>
      <c r="U68" s="106"/>
      <c r="V68" s="105">
        <f t="shared" si="27"/>
        <v>3.6428011200173936E-2</v>
      </c>
      <c r="W68" s="105"/>
      <c r="X68" s="105"/>
      <c r="Y68" s="59"/>
      <c r="Z68" s="107">
        <f t="shared" si="28"/>
        <v>3.2526911934581217E-2</v>
      </c>
      <c r="AA68" s="107"/>
    </row>
    <row r="69" spans="1:27" x14ac:dyDescent="0.25">
      <c r="A69" s="9" t="s">
        <v>4</v>
      </c>
      <c r="B69" s="105">
        <f t="shared" si="21"/>
        <v>9.007219326740068E-2</v>
      </c>
      <c r="C69" s="105"/>
      <c r="D69" s="105"/>
      <c r="E69" s="106">
        <f t="shared" si="22"/>
        <v>6.2233431530007009E-2</v>
      </c>
      <c r="F69" s="106"/>
      <c r="G69" s="106"/>
      <c r="H69" s="105">
        <f t="shared" si="23"/>
        <v>8.591274643497368E-2</v>
      </c>
      <c r="I69" s="105"/>
      <c r="J69" s="105"/>
      <c r="K69" s="62"/>
      <c r="L69" s="107">
        <f t="shared" si="24"/>
        <v>6.363961030678926E-2</v>
      </c>
      <c r="M69" s="107"/>
      <c r="O69" s="9" t="s">
        <v>4</v>
      </c>
      <c r="P69" s="105">
        <f>_xlfn.STDEV.S(P56:R56)</f>
        <v>4.0501028793517475E-2</v>
      </c>
      <c r="Q69" s="105"/>
      <c r="R69" s="105"/>
      <c r="S69" s="106">
        <f t="shared" si="26"/>
        <v>9.5043849529221763E-3</v>
      </c>
      <c r="T69" s="106"/>
      <c r="U69" s="106"/>
      <c r="V69" s="105">
        <f t="shared" si="27"/>
        <v>2.3028967265887792E-2</v>
      </c>
      <c r="W69" s="105"/>
      <c r="X69" s="105"/>
      <c r="Y69" s="62"/>
      <c r="Z69" s="107">
        <f t="shared" si="28"/>
        <v>7.7781745930520299E-3</v>
      </c>
      <c r="AA69" s="107"/>
    </row>
    <row r="70" spans="1:27" x14ac:dyDescent="0.25">
      <c r="A70" s="9" t="s">
        <v>5</v>
      </c>
      <c r="B70" s="105">
        <f t="shared" si="21"/>
        <v>4.8867166891482475E-2</v>
      </c>
      <c r="C70" s="105"/>
      <c r="D70" s="105"/>
      <c r="E70" s="106">
        <f t="shared" si="22"/>
        <v>9.5220796047922759E-2</v>
      </c>
      <c r="F70" s="106"/>
      <c r="G70" s="106"/>
      <c r="H70" s="105">
        <f t="shared" si="23"/>
        <v>1.5534906930308071E-2</v>
      </c>
      <c r="I70" s="105"/>
      <c r="J70" s="105"/>
      <c r="K70" s="62"/>
      <c r="L70" s="107">
        <f t="shared" si="24"/>
        <v>2.6162950903902079E-2</v>
      </c>
      <c r="M70" s="107"/>
      <c r="O70" s="9" t="s">
        <v>5</v>
      </c>
      <c r="P70" s="105">
        <f>_xlfn.STDEV.S(P57:R57)</f>
        <v>1.9399312702601968E-2</v>
      </c>
      <c r="Q70" s="105"/>
      <c r="R70" s="105"/>
      <c r="S70" s="106">
        <f t="shared" si="26"/>
        <v>7.2917761896536565E-2</v>
      </c>
      <c r="T70" s="106"/>
      <c r="U70" s="106"/>
      <c r="V70" s="105">
        <f t="shared" si="27"/>
        <v>5.9366095823570338E-2</v>
      </c>
      <c r="W70" s="105"/>
      <c r="X70" s="105"/>
      <c r="Y70" s="62"/>
      <c r="Z70" s="107">
        <f t="shared" si="28"/>
        <v>1.1313708498984771E-2</v>
      </c>
      <c r="AA70" s="107"/>
    </row>
    <row r="71" spans="1:27" x14ac:dyDescent="0.25">
      <c r="A71" s="9" t="s">
        <v>6</v>
      </c>
      <c r="B71" s="105">
        <f t="shared" si="21"/>
        <v>5.5868894148115494E-2</v>
      </c>
      <c r="C71" s="105"/>
      <c r="D71" s="105"/>
      <c r="E71" s="106">
        <f t="shared" si="22"/>
        <v>8.7000000000000272E-2</v>
      </c>
      <c r="F71" s="106"/>
      <c r="G71" s="106"/>
      <c r="H71" s="105">
        <f t="shared" si="23"/>
        <v>0.11706550872623976</v>
      </c>
      <c r="I71" s="105"/>
      <c r="J71" s="105"/>
      <c r="K71" s="63"/>
      <c r="L71" s="107">
        <f t="shared" si="24"/>
        <v>1.5556349186104074E-2</v>
      </c>
      <c r="M71" s="107"/>
      <c r="O71" s="9" t="s">
        <v>6</v>
      </c>
      <c r="P71" s="105">
        <f t="shared" si="25"/>
        <v>4.0216083018281772E-2</v>
      </c>
      <c r="Q71" s="105"/>
      <c r="R71" s="105"/>
      <c r="S71" s="106">
        <f t="shared" si="26"/>
        <v>3.7072002014098673E-2</v>
      </c>
      <c r="T71" s="106"/>
      <c r="U71" s="106"/>
      <c r="V71" s="105">
        <f t="shared" si="27"/>
        <v>4.6758243479982559E-2</v>
      </c>
      <c r="W71" s="105"/>
      <c r="X71" s="105"/>
      <c r="Y71" s="63"/>
      <c r="Z71" s="107">
        <f>_xlfn.STDEV.S(Z58:AA58)</f>
        <v>1.4142135623730963E-3</v>
      </c>
      <c r="AA71" s="107"/>
    </row>
    <row r="72" spans="1:27" x14ac:dyDescent="0.25">
      <c r="A72" s="9" t="s">
        <v>7</v>
      </c>
      <c r="B72" s="105">
        <f t="shared" si="21"/>
        <v>8.3522452071284378E-2</v>
      </c>
      <c r="C72" s="105"/>
      <c r="D72" s="105"/>
      <c r="E72" s="106">
        <f t="shared" si="22"/>
        <v>8.3500499000504963E-2</v>
      </c>
      <c r="F72" s="106"/>
      <c r="G72" s="106"/>
      <c r="H72" s="105">
        <f t="shared" si="23"/>
        <v>8.8707384134580444E-2</v>
      </c>
      <c r="I72" s="105"/>
      <c r="J72" s="105"/>
      <c r="K72" s="63"/>
      <c r="L72" s="107">
        <f t="shared" si="24"/>
        <v>1.0606601717798212E-2</v>
      </c>
      <c r="M72" s="107"/>
      <c r="O72" s="9" t="s">
        <v>7</v>
      </c>
      <c r="P72" s="105">
        <f t="shared" si="25"/>
        <v>2.9365512652316066E-2</v>
      </c>
      <c r="Q72" s="105"/>
      <c r="R72" s="105"/>
      <c r="S72" s="106">
        <f t="shared" si="26"/>
        <v>3.2516662395352558E-2</v>
      </c>
      <c r="T72" s="106"/>
      <c r="U72" s="106"/>
      <c r="V72" s="105">
        <f t="shared" si="27"/>
        <v>3.3645207682521411E-2</v>
      </c>
      <c r="W72" s="105"/>
      <c r="X72" s="105"/>
      <c r="Y72" s="63"/>
      <c r="Z72" s="107">
        <f t="shared" si="28"/>
        <v>6.3639610306789416E-3</v>
      </c>
      <c r="AA72" s="107"/>
    </row>
  </sheetData>
  <mergeCells count="66">
    <mergeCell ref="A1:M1"/>
    <mergeCell ref="O1:AA1"/>
    <mergeCell ref="B65:D65"/>
    <mergeCell ref="B66:D66"/>
    <mergeCell ref="P65:R65"/>
    <mergeCell ref="S65:U65"/>
    <mergeCell ref="V65:X65"/>
    <mergeCell ref="Z65:AA65"/>
    <mergeCell ref="P66:R66"/>
    <mergeCell ref="S66:U66"/>
    <mergeCell ref="V66:X66"/>
    <mergeCell ref="Z66:AA66"/>
    <mergeCell ref="B67:D67"/>
    <mergeCell ref="B68:D68"/>
    <mergeCell ref="B69:D69"/>
    <mergeCell ref="B70:D70"/>
    <mergeCell ref="B71:D71"/>
    <mergeCell ref="B72:D72"/>
    <mergeCell ref="E65:G65"/>
    <mergeCell ref="H65:J65"/>
    <mergeCell ref="L65:M65"/>
    <mergeCell ref="E66:G66"/>
    <mergeCell ref="E67:G67"/>
    <mergeCell ref="E68:G68"/>
    <mergeCell ref="E69:G69"/>
    <mergeCell ref="E70:G70"/>
    <mergeCell ref="E71:G71"/>
    <mergeCell ref="E72:G72"/>
    <mergeCell ref="H66:J66"/>
    <mergeCell ref="H67:J67"/>
    <mergeCell ref="H68:J68"/>
    <mergeCell ref="H69:J69"/>
    <mergeCell ref="H70:J70"/>
    <mergeCell ref="H71:J71"/>
    <mergeCell ref="H72:J72"/>
    <mergeCell ref="L66:M66"/>
    <mergeCell ref="L67:M67"/>
    <mergeCell ref="L68:M68"/>
    <mergeCell ref="L69:M69"/>
    <mergeCell ref="L70:M70"/>
    <mergeCell ref="L71:M71"/>
    <mergeCell ref="L72:M72"/>
    <mergeCell ref="P67:R67"/>
    <mergeCell ref="S67:U67"/>
    <mergeCell ref="V67:X67"/>
    <mergeCell ref="Z67:AA67"/>
    <mergeCell ref="P68:R68"/>
    <mergeCell ref="S68:U68"/>
    <mergeCell ref="V68:X68"/>
    <mergeCell ref="Z68:AA68"/>
    <mergeCell ref="P69:R69"/>
    <mergeCell ref="S69:U69"/>
    <mergeCell ref="V69:X69"/>
    <mergeCell ref="Z69:AA69"/>
    <mergeCell ref="P70:R70"/>
    <mergeCell ref="S70:U70"/>
    <mergeCell ref="V70:X70"/>
    <mergeCell ref="Z70:AA70"/>
    <mergeCell ref="P71:R71"/>
    <mergeCell ref="S71:U71"/>
    <mergeCell ref="V71:X71"/>
    <mergeCell ref="Z71:AA71"/>
    <mergeCell ref="P72:R72"/>
    <mergeCell ref="S72:U72"/>
    <mergeCell ref="V72:X72"/>
    <mergeCell ref="Z72:AA7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zoomScaleNormal="100" workbookViewId="0">
      <selection activeCell="F20" sqref="F20"/>
    </sheetView>
  </sheetViews>
  <sheetFormatPr baseColWidth="10" defaultRowHeight="15" x14ac:dyDescent="0.25"/>
  <cols>
    <col min="1" max="1" width="21.42578125" customWidth="1"/>
    <col min="2" max="2" width="22.28515625" customWidth="1"/>
  </cols>
  <sheetData>
    <row r="1" spans="1:13" x14ac:dyDescent="0.25">
      <c r="A1" s="109" t="str">
        <f>absorbances!A1</f>
        <v>PLAQUE 4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</row>
    <row r="2" spans="1:13" x14ac:dyDescent="0.25">
      <c r="A2" s="17" t="s">
        <v>14</v>
      </c>
      <c r="B2" s="17" t="s">
        <v>27</v>
      </c>
      <c r="F2" s="16" t="s">
        <v>15</v>
      </c>
    </row>
    <row r="3" spans="1:13" x14ac:dyDescent="0.25">
      <c r="A3">
        <f>AVERAGE(absorbances!L52:M52)</f>
        <v>0.68699999999999994</v>
      </c>
      <c r="B3">
        <v>25</v>
      </c>
      <c r="F3" s="29">
        <v>0.23960000000000001</v>
      </c>
      <c r="G3" s="29">
        <v>6.6653000000000002</v>
      </c>
    </row>
    <row r="4" spans="1:13" x14ac:dyDescent="0.25">
      <c r="A4">
        <f>AVERAGE(absorbances!L53:M53)</f>
        <v>0.60749999999999993</v>
      </c>
      <c r="B4">
        <v>12.5</v>
      </c>
    </row>
    <row r="5" spans="1:13" x14ac:dyDescent="0.25">
      <c r="A5">
        <f>AVERAGE(absorbances!L54:M54)</f>
        <v>0.50849999999999995</v>
      </c>
      <c r="B5">
        <v>6.25</v>
      </c>
      <c r="F5" s="16" t="s">
        <v>17</v>
      </c>
    </row>
    <row r="6" spans="1:13" x14ac:dyDescent="0.25">
      <c r="A6">
        <f>AVERAGE(absorbances!L55:M55)</f>
        <v>0.39850000000000002</v>
      </c>
      <c r="B6">
        <v>3.125</v>
      </c>
      <c r="F6">
        <f>275/15</f>
        <v>18.333333333333332</v>
      </c>
    </row>
    <row r="7" spans="1:13" x14ac:dyDescent="0.25">
      <c r="A7">
        <f>AVERAGE(absorbances!L56:M56)</f>
        <v>0.222</v>
      </c>
      <c r="B7">
        <v>1.56</v>
      </c>
    </row>
    <row r="8" spans="1:13" x14ac:dyDescent="0.25">
      <c r="A8">
        <f>AVERAGE(absorbances!L57:M57)</f>
        <v>0.13850000000000001</v>
      </c>
      <c r="B8">
        <v>0.78</v>
      </c>
    </row>
    <row r="9" spans="1:13" x14ac:dyDescent="0.25">
      <c r="A9">
        <f>AVERAGE(absorbances!L58:M58)</f>
        <v>7.2999999999999995E-2</v>
      </c>
      <c r="B9">
        <v>0.39</v>
      </c>
    </row>
    <row r="10" spans="1:13" x14ac:dyDescent="0.25">
      <c r="A10">
        <f>AVERAGE(absorbances!L59:M59)</f>
        <v>3.0500000000000006E-2</v>
      </c>
      <c r="B10">
        <v>0.19500000000000001</v>
      </c>
    </row>
    <row r="12" spans="1:13" x14ac:dyDescent="0.25">
      <c r="A12" t="s">
        <v>104</v>
      </c>
    </row>
    <row r="14" spans="1:13" x14ac:dyDescent="0.25">
      <c r="A14" s="109" t="str">
        <f>absorbances!O1</f>
        <v>PLAQUE 7</v>
      </c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</row>
    <row r="15" spans="1:13" x14ac:dyDescent="0.25">
      <c r="F15" s="16" t="s">
        <v>15</v>
      </c>
    </row>
    <row r="16" spans="1:13" x14ac:dyDescent="0.25">
      <c r="A16" s="17" t="s">
        <v>14</v>
      </c>
      <c r="B16" s="17" t="s">
        <v>27</v>
      </c>
      <c r="F16">
        <v>0.1431</v>
      </c>
      <c r="G16">
        <v>7.1676000000000002</v>
      </c>
    </row>
    <row r="17" spans="1:6" x14ac:dyDescent="0.25">
      <c r="A17">
        <f>AVERAGE(absorbances!Z52,absorbances!AA52)</f>
        <v>0.77249999999999996</v>
      </c>
      <c r="B17">
        <v>25</v>
      </c>
    </row>
    <row r="18" spans="1:6" x14ac:dyDescent="0.25">
      <c r="A18">
        <f>AVERAGE(absorbances!Z53,absorbances!AA53)</f>
        <v>0.65149999999999997</v>
      </c>
      <c r="B18">
        <v>12.5</v>
      </c>
      <c r="F18" s="16" t="s">
        <v>17</v>
      </c>
    </row>
    <row r="19" spans="1:6" x14ac:dyDescent="0.25">
      <c r="A19">
        <f>AVERAGE(absorbances!Z54,absorbances!AA54)</f>
        <v>0.51449999999999996</v>
      </c>
      <c r="B19">
        <v>6.25</v>
      </c>
      <c r="F19">
        <f>275/15</f>
        <v>18.333333333333332</v>
      </c>
    </row>
    <row r="20" spans="1:6" x14ac:dyDescent="0.25">
      <c r="A20">
        <f>AVERAGE(absorbances!Z55,absorbances!AA55)</f>
        <v>0.39850000000000002</v>
      </c>
      <c r="B20">
        <v>3.125</v>
      </c>
    </row>
    <row r="21" spans="1:6" x14ac:dyDescent="0.25">
      <c r="A21">
        <f>AVERAGE(absorbances!Z56,absorbances!AA56)</f>
        <v>0.22900000000000001</v>
      </c>
      <c r="B21">
        <v>1.56</v>
      </c>
    </row>
    <row r="22" spans="1:6" x14ac:dyDescent="0.25">
      <c r="A22">
        <f>AVERAGE(absorbances!Z57,absorbances!AA57)</f>
        <v>0.14949999999999999</v>
      </c>
      <c r="B22">
        <v>0.78</v>
      </c>
    </row>
    <row r="23" spans="1:6" x14ac:dyDescent="0.25">
      <c r="A23">
        <f>AVERAGE(absorbances!Z58,absorbances!AA58)</f>
        <v>6.9500000000000006E-2</v>
      </c>
      <c r="B23">
        <v>0.39</v>
      </c>
    </row>
    <row r="24" spans="1:6" x14ac:dyDescent="0.25">
      <c r="A24">
        <f>AVERAGE(absorbances!Z59,absorbances!AA59)</f>
        <v>0.04</v>
      </c>
      <c r="B24">
        <v>0.19500000000000001</v>
      </c>
    </row>
    <row r="25" spans="1:6" x14ac:dyDescent="0.25">
      <c r="A25">
        <f>AVERAGE(absorbances!Y52,absorbances!Y54)</f>
        <v>1.7499999999999998E-2</v>
      </c>
      <c r="B25">
        <f>B24/2</f>
        <v>9.7500000000000003E-2</v>
      </c>
    </row>
    <row r="26" spans="1:6" x14ac:dyDescent="0.25">
      <c r="A26">
        <f>AVERAGE(absorbances!Y53,absorbances!Y55)</f>
        <v>7.5000000000000032E-3</v>
      </c>
      <c r="B26">
        <f>B25/2</f>
        <v>4.8750000000000002E-2</v>
      </c>
    </row>
  </sheetData>
  <mergeCells count="2">
    <mergeCell ref="A1:M1"/>
    <mergeCell ref="A14:M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selection activeCell="D31" sqref="D31"/>
    </sheetView>
  </sheetViews>
  <sheetFormatPr baseColWidth="10" defaultRowHeight="15" x14ac:dyDescent="0.25"/>
  <cols>
    <col min="1" max="3" width="20.85546875" customWidth="1"/>
    <col min="4" max="4" width="29.28515625" customWidth="1"/>
    <col min="5" max="5" width="29" customWidth="1"/>
    <col min="8" max="8" width="17.7109375" customWidth="1"/>
    <col min="10" max="10" width="23.5703125" customWidth="1"/>
    <col min="11" max="11" width="19.7109375" customWidth="1"/>
  </cols>
  <sheetData>
    <row r="1" spans="1:11" x14ac:dyDescent="0.25">
      <c r="A1" s="23" t="s">
        <v>20</v>
      </c>
      <c r="B1" s="23" t="s">
        <v>26</v>
      </c>
      <c r="C1" s="38" t="s">
        <v>21</v>
      </c>
      <c r="D1" s="38" t="s">
        <v>22</v>
      </c>
      <c r="E1" s="24" t="s">
        <v>23</v>
      </c>
      <c r="F1" s="24" t="s">
        <v>50</v>
      </c>
      <c r="H1" s="101" t="s">
        <v>106</v>
      </c>
      <c r="I1" s="101" t="s">
        <v>107</v>
      </c>
      <c r="J1" s="101" t="s">
        <v>108</v>
      </c>
      <c r="K1" s="101" t="s">
        <v>109</v>
      </c>
    </row>
    <row r="2" spans="1:11" x14ac:dyDescent="0.25">
      <c r="A2" s="25">
        <v>1</v>
      </c>
      <c r="B2" s="25" t="str">
        <f>absorbances!B5</f>
        <v>NCHA100167_FA-1</v>
      </c>
      <c r="C2" s="93">
        <v>1.2025999999999999</v>
      </c>
      <c r="D2" s="93">
        <v>1.2128000000000001</v>
      </c>
      <c r="E2" s="26">
        <f>D2-C2</f>
        <v>1.0200000000000209E-2</v>
      </c>
      <c r="F2" t="str">
        <f>absorbances!A1</f>
        <v>PLAQUE 4</v>
      </c>
      <c r="H2" s="102">
        <f>E2*1000</f>
        <v>10.200000000000209</v>
      </c>
      <c r="I2" s="102">
        <f>H2+60</f>
        <v>70.200000000000216</v>
      </c>
      <c r="J2">
        <f>I2/H2</f>
        <v>6.8823529411763511</v>
      </c>
      <c r="K2">
        <f>J2*courbe_etalon!$F$6</f>
        <v>126.1764705882331</v>
      </c>
    </row>
    <row r="3" spans="1:11" x14ac:dyDescent="0.25">
      <c r="A3" s="25">
        <f>A2+1</f>
        <v>2</v>
      </c>
      <c r="B3" s="25" t="str">
        <f>absorbances!B6</f>
        <v>NCHA100168_FA-1</v>
      </c>
      <c r="C3" s="93">
        <v>1.1950000000000001</v>
      </c>
      <c r="D3" s="93">
        <v>1.1996</v>
      </c>
      <c r="E3" s="26">
        <f t="shared" ref="E3:E49" si="0">D3-C3</f>
        <v>4.5999999999999375E-3</v>
      </c>
      <c r="F3" t="str">
        <f>absorbances!A1</f>
        <v>PLAQUE 4</v>
      </c>
      <c r="H3" s="102">
        <f t="shared" ref="H3:H49" si="1">E3*1000</f>
        <v>4.5999999999999375</v>
      </c>
      <c r="I3" s="102">
        <f t="shared" ref="I3:I49" si="2">H3+60</f>
        <v>64.599999999999937</v>
      </c>
      <c r="J3">
        <f t="shared" ref="J3:J49" si="3">I3/H3</f>
        <v>14.043478260869742</v>
      </c>
      <c r="K3">
        <f>J3*courbe_etalon!$F$6</f>
        <v>257.46376811594524</v>
      </c>
    </row>
    <row r="4" spans="1:11" x14ac:dyDescent="0.25">
      <c r="A4" s="25">
        <f t="shared" ref="A4:A25" si="4">A3+1</f>
        <v>3</v>
      </c>
      <c r="B4" s="25" t="str">
        <f>absorbances!B7</f>
        <v>NCHA100169_FA-1</v>
      </c>
      <c r="C4" s="93">
        <v>1.2025999999999999</v>
      </c>
      <c r="D4" s="93">
        <v>1.216</v>
      </c>
      <c r="E4" s="26">
        <f t="shared" si="0"/>
        <v>1.3400000000000079E-2</v>
      </c>
      <c r="F4" t="str">
        <f>absorbances!A1</f>
        <v>PLAQUE 4</v>
      </c>
      <c r="H4" s="102">
        <f t="shared" si="1"/>
        <v>13.400000000000079</v>
      </c>
      <c r="I4" s="102">
        <f t="shared" si="2"/>
        <v>73.400000000000077</v>
      </c>
      <c r="J4">
        <f t="shared" si="3"/>
        <v>5.4776119402984813</v>
      </c>
      <c r="K4">
        <f>J4*courbe_etalon!$F$6</f>
        <v>100.42288557213882</v>
      </c>
    </row>
    <row r="5" spans="1:11" x14ac:dyDescent="0.25">
      <c r="A5" s="25">
        <f t="shared" si="4"/>
        <v>4</v>
      </c>
      <c r="B5" s="25" t="str">
        <f>absorbances!B8</f>
        <v>NCHA100170_FA-1</v>
      </c>
      <c r="C5" s="93">
        <v>1.1887000000000001</v>
      </c>
      <c r="D5" s="93">
        <v>1.1942999999999999</v>
      </c>
      <c r="E5" s="26">
        <f t="shared" si="0"/>
        <v>5.5999999999998273E-3</v>
      </c>
      <c r="F5" t="str">
        <f>absorbances!A1</f>
        <v>PLAQUE 4</v>
      </c>
      <c r="H5" s="102">
        <f t="shared" si="1"/>
        <v>5.5999999999998273</v>
      </c>
      <c r="I5" s="102">
        <f t="shared" si="2"/>
        <v>65.599999999999824</v>
      </c>
      <c r="J5">
        <f t="shared" si="3"/>
        <v>11.714285714286044</v>
      </c>
      <c r="K5">
        <f>J5*courbe_etalon!$F$6</f>
        <v>214.76190476191078</v>
      </c>
    </row>
    <row r="6" spans="1:11" x14ac:dyDescent="0.25">
      <c r="A6" s="25">
        <f t="shared" si="4"/>
        <v>5</v>
      </c>
      <c r="B6" s="25" t="str">
        <f>absorbances!B9</f>
        <v>NCHA100171_FA-1</v>
      </c>
      <c r="C6" s="93">
        <v>1.1919</v>
      </c>
      <c r="D6" s="93">
        <v>1.2</v>
      </c>
      <c r="E6" s="26">
        <f t="shared" si="0"/>
        <v>8.0999999999999961E-3</v>
      </c>
      <c r="F6" t="str">
        <f>absorbances!A1</f>
        <v>PLAQUE 4</v>
      </c>
      <c r="H6" s="102">
        <f t="shared" si="1"/>
        <v>8.0999999999999961</v>
      </c>
      <c r="I6" s="102">
        <f t="shared" si="2"/>
        <v>68.099999999999994</v>
      </c>
      <c r="J6">
        <f t="shared" si="3"/>
        <v>8.4074074074074101</v>
      </c>
      <c r="K6">
        <f>J6*courbe_etalon!$F$6</f>
        <v>154.13580246913585</v>
      </c>
    </row>
    <row r="7" spans="1:11" x14ac:dyDescent="0.25">
      <c r="A7" s="25">
        <f t="shared" si="4"/>
        <v>6</v>
      </c>
      <c r="B7" s="25" t="str">
        <f>absorbances!B10</f>
        <v>NCHA100172_FA-1</v>
      </c>
      <c r="C7" s="93">
        <v>1.1890000000000001</v>
      </c>
      <c r="D7" s="93">
        <v>1.1988000000000001</v>
      </c>
      <c r="E7" s="26">
        <f t="shared" si="0"/>
        <v>9.8000000000000309E-3</v>
      </c>
      <c r="F7" t="str">
        <f>absorbances!A1</f>
        <v>PLAQUE 4</v>
      </c>
      <c r="H7" s="102">
        <f t="shared" si="1"/>
        <v>9.8000000000000309</v>
      </c>
      <c r="I7" s="102">
        <f t="shared" si="2"/>
        <v>69.800000000000026</v>
      </c>
      <c r="J7">
        <f t="shared" si="3"/>
        <v>7.1224489795918169</v>
      </c>
      <c r="K7">
        <f>J7*courbe_etalon!$F$6</f>
        <v>130.57823129251665</v>
      </c>
    </row>
    <row r="8" spans="1:11" x14ac:dyDescent="0.25">
      <c r="A8" s="25">
        <f t="shared" si="4"/>
        <v>7</v>
      </c>
      <c r="B8" s="25" t="str">
        <f>absorbances!B11</f>
        <v>NCHA100173_FA-1</v>
      </c>
      <c r="C8" s="93">
        <v>1.1903999999999999</v>
      </c>
      <c r="D8" s="93">
        <v>1.1998</v>
      </c>
      <c r="E8" s="26">
        <f t="shared" si="0"/>
        <v>9.400000000000075E-3</v>
      </c>
      <c r="F8" t="str">
        <f>absorbances!A1</f>
        <v>PLAQUE 4</v>
      </c>
      <c r="H8" s="102">
        <f t="shared" si="1"/>
        <v>9.400000000000075</v>
      </c>
      <c r="I8" s="102">
        <f t="shared" si="2"/>
        <v>69.400000000000077</v>
      </c>
      <c r="J8">
        <f t="shared" si="3"/>
        <v>7.3829787234042046</v>
      </c>
      <c r="K8">
        <f>J8*courbe_etalon!$F$6</f>
        <v>135.35460992907707</v>
      </c>
    </row>
    <row r="9" spans="1:11" x14ac:dyDescent="0.25">
      <c r="A9" s="25">
        <f t="shared" si="4"/>
        <v>8</v>
      </c>
      <c r="B9" s="25" t="str">
        <f>absorbances!B12</f>
        <v>NCHA100174_FA-1</v>
      </c>
      <c r="C9" s="93">
        <v>1.1948000000000001</v>
      </c>
      <c r="D9" s="93">
        <v>1.2005999999999999</v>
      </c>
      <c r="E9" s="26">
        <f t="shared" si="0"/>
        <v>5.7999999999998053E-3</v>
      </c>
      <c r="F9" t="str">
        <f>absorbances!A1</f>
        <v>PLAQUE 4</v>
      </c>
      <c r="H9" s="102">
        <f t="shared" si="1"/>
        <v>5.7999999999998053</v>
      </c>
      <c r="I9" s="102">
        <f t="shared" si="2"/>
        <v>65.799999999999812</v>
      </c>
      <c r="J9">
        <f t="shared" si="3"/>
        <v>11.344827586207245</v>
      </c>
      <c r="K9">
        <f>J9*courbe_etalon!$F$6</f>
        <v>207.98850574713282</v>
      </c>
    </row>
    <row r="10" spans="1:11" x14ac:dyDescent="0.25">
      <c r="A10" s="25">
        <f t="shared" si="4"/>
        <v>9</v>
      </c>
      <c r="B10" s="25" t="str">
        <f>absorbances!E5</f>
        <v>NCHA100175_FA-1</v>
      </c>
      <c r="C10" s="93">
        <v>1.1977</v>
      </c>
      <c r="D10" s="93">
        <v>1.2042999999999999</v>
      </c>
      <c r="E10" s="26">
        <f t="shared" si="0"/>
        <v>6.5999999999999392E-3</v>
      </c>
      <c r="F10" t="str">
        <f>absorbances!A1</f>
        <v>PLAQUE 4</v>
      </c>
      <c r="H10" s="102">
        <f t="shared" si="1"/>
        <v>6.5999999999999392</v>
      </c>
      <c r="I10" s="102">
        <f t="shared" si="2"/>
        <v>66.599999999999937</v>
      </c>
      <c r="J10">
        <f t="shared" si="3"/>
        <v>10.090909090909175</v>
      </c>
      <c r="K10">
        <f>J10*courbe_etalon!$F$6</f>
        <v>185.00000000000153</v>
      </c>
    </row>
    <row r="11" spans="1:11" x14ac:dyDescent="0.25">
      <c r="A11" s="25">
        <f t="shared" si="4"/>
        <v>10</v>
      </c>
      <c r="B11" s="25" t="str">
        <f>absorbances!E6</f>
        <v>NCHA100176_FA-1</v>
      </c>
      <c r="C11" s="93">
        <v>1.1910000000000001</v>
      </c>
      <c r="D11" s="93">
        <v>1.1979</v>
      </c>
      <c r="E11" s="26">
        <f t="shared" si="0"/>
        <v>6.8999999999999062E-3</v>
      </c>
      <c r="F11" t="str">
        <f>absorbances!A1</f>
        <v>PLAQUE 4</v>
      </c>
      <c r="H11" s="102">
        <f t="shared" si="1"/>
        <v>6.8999999999999062</v>
      </c>
      <c r="I11" s="102">
        <f t="shared" si="2"/>
        <v>66.899999999999906</v>
      </c>
      <c r="J11">
        <f>I11/H11</f>
        <v>9.695652173913162</v>
      </c>
      <c r="K11">
        <f>J11*courbe_etalon!$F$6</f>
        <v>177.75362318840797</v>
      </c>
    </row>
    <row r="12" spans="1:11" x14ac:dyDescent="0.25">
      <c r="A12" s="45">
        <f t="shared" si="4"/>
        <v>11</v>
      </c>
      <c r="B12" s="45" t="str">
        <f>absorbances!E7</f>
        <v>NCHA100177_FA-1</v>
      </c>
      <c r="C12" s="93">
        <v>1.1910000000000001</v>
      </c>
      <c r="D12" s="93">
        <v>1.2007000000000001</v>
      </c>
      <c r="E12" s="58">
        <f t="shared" si="0"/>
        <v>9.7000000000000419E-3</v>
      </c>
      <c r="F12" t="str">
        <f>absorbances!A1</f>
        <v>PLAQUE 4</v>
      </c>
      <c r="H12" s="102">
        <f t="shared" si="1"/>
        <v>9.7000000000000419</v>
      </c>
      <c r="I12" s="102">
        <f t="shared" si="2"/>
        <v>69.700000000000045</v>
      </c>
      <c r="J12">
        <f t="shared" si="3"/>
        <v>7.1855670103092519</v>
      </c>
      <c r="K12">
        <f>J12*courbe_etalon!$F$6</f>
        <v>131.73539518900296</v>
      </c>
    </row>
    <row r="13" spans="1:11" x14ac:dyDescent="0.25">
      <c r="A13" s="96">
        <f t="shared" si="4"/>
        <v>12</v>
      </c>
      <c r="B13" s="96" t="str">
        <f>absorbances!E8</f>
        <v>NCHA100178_FA-1</v>
      </c>
      <c r="C13" s="97">
        <v>1.2056</v>
      </c>
      <c r="D13" s="97">
        <v>1.2107000000000001</v>
      </c>
      <c r="E13" s="98">
        <f t="shared" si="0"/>
        <v>5.1000000000001044E-3</v>
      </c>
      <c r="F13" s="99" t="str">
        <f>absorbances!A1</f>
        <v>PLAQUE 4</v>
      </c>
      <c r="H13" s="103">
        <f t="shared" si="1"/>
        <v>5.1000000000001044</v>
      </c>
      <c r="I13" s="103">
        <f>H13+60</f>
        <v>65.100000000000108</v>
      </c>
      <c r="J13" s="103">
        <f>I13/H13</f>
        <v>12.7647058823527</v>
      </c>
      <c r="K13">
        <f>J13*courbe_etalon!$F$6</f>
        <v>234.01960784313283</v>
      </c>
    </row>
    <row r="14" spans="1:11" x14ac:dyDescent="0.25">
      <c r="A14" s="25">
        <f t="shared" si="4"/>
        <v>13</v>
      </c>
      <c r="B14" s="25" t="str">
        <f>absorbances!E9</f>
        <v>NCHA100179_FA-1</v>
      </c>
      <c r="C14" s="93">
        <v>1.1911</v>
      </c>
      <c r="D14" s="93">
        <v>1.2003999999999999</v>
      </c>
      <c r="E14" s="26">
        <f t="shared" si="0"/>
        <v>9.2999999999998639E-3</v>
      </c>
      <c r="F14" t="str">
        <f>absorbances!A1</f>
        <v>PLAQUE 4</v>
      </c>
      <c r="H14" s="103">
        <f t="shared" si="1"/>
        <v>9.2999999999998639</v>
      </c>
      <c r="I14" s="103">
        <f t="shared" si="2"/>
        <v>69.299999999999869</v>
      </c>
      <c r="J14" s="29">
        <f t="shared" si="3"/>
        <v>7.4516129032259011</v>
      </c>
      <c r="K14">
        <f>J14*courbe_etalon!$F$6</f>
        <v>136.61290322580817</v>
      </c>
    </row>
    <row r="15" spans="1:11" x14ac:dyDescent="0.25">
      <c r="A15" s="25">
        <f t="shared" si="4"/>
        <v>14</v>
      </c>
      <c r="B15" s="25" t="str">
        <f>absorbances!E10</f>
        <v>NCHA100180_FA-1</v>
      </c>
      <c r="C15" s="93">
        <v>1.1978</v>
      </c>
      <c r="D15" s="93">
        <v>1.2016</v>
      </c>
      <c r="E15" s="26">
        <f t="shared" si="0"/>
        <v>3.8000000000000256E-3</v>
      </c>
      <c r="F15" t="str">
        <f>absorbances!A1</f>
        <v>PLAQUE 4</v>
      </c>
      <c r="H15" s="103">
        <f t="shared" si="1"/>
        <v>3.8000000000000256</v>
      </c>
      <c r="I15" s="103">
        <f t="shared" si="2"/>
        <v>63.800000000000026</v>
      </c>
      <c r="J15" s="29">
        <f t="shared" si="3"/>
        <v>16.789473684210421</v>
      </c>
      <c r="K15">
        <f>J15*courbe_etalon!$F$6</f>
        <v>307.80701754385768</v>
      </c>
    </row>
    <row r="16" spans="1:11" x14ac:dyDescent="0.25">
      <c r="A16" s="25">
        <f t="shared" si="4"/>
        <v>15</v>
      </c>
      <c r="B16" s="25" t="str">
        <f>absorbances!E11</f>
        <v>NCHA100181_FA-1</v>
      </c>
      <c r="C16" s="93">
        <v>1.1936</v>
      </c>
      <c r="D16" s="93">
        <v>1.1994</v>
      </c>
      <c r="E16" s="26">
        <f t="shared" si="0"/>
        <v>5.8000000000000274E-3</v>
      </c>
      <c r="F16" t="str">
        <f>absorbances!A1</f>
        <v>PLAQUE 4</v>
      </c>
      <c r="H16" s="103">
        <f t="shared" si="1"/>
        <v>5.8000000000000274</v>
      </c>
      <c r="I16" s="103">
        <f t="shared" si="2"/>
        <v>65.800000000000026</v>
      </c>
      <c r="J16" s="29">
        <f t="shared" si="3"/>
        <v>11.344827586206847</v>
      </c>
      <c r="K16">
        <f>J16*courbe_etalon!$F$6</f>
        <v>207.98850574712552</v>
      </c>
    </row>
    <row r="17" spans="1:11" x14ac:dyDescent="0.25">
      <c r="A17" s="25">
        <f t="shared" si="4"/>
        <v>16</v>
      </c>
      <c r="B17" s="25" t="str">
        <f>absorbances!E12</f>
        <v>NCHA100182_FA-1</v>
      </c>
      <c r="C17" s="93">
        <v>1.2035</v>
      </c>
      <c r="D17" s="93">
        <v>1.2153</v>
      </c>
      <c r="E17" s="26">
        <f t="shared" si="0"/>
        <v>1.1800000000000033E-2</v>
      </c>
      <c r="F17" t="str">
        <f>absorbances!A1</f>
        <v>PLAQUE 4</v>
      </c>
      <c r="H17" s="103">
        <f t="shared" si="1"/>
        <v>11.800000000000033</v>
      </c>
      <c r="I17" s="103">
        <f t="shared" si="2"/>
        <v>71.80000000000004</v>
      </c>
      <c r="J17" s="29">
        <f t="shared" si="3"/>
        <v>6.0847457627118509</v>
      </c>
      <c r="K17">
        <f>J17*courbe_etalon!$F$6</f>
        <v>111.55367231638392</v>
      </c>
    </row>
    <row r="18" spans="1:11" x14ac:dyDescent="0.25">
      <c r="A18" s="25">
        <f t="shared" si="4"/>
        <v>17</v>
      </c>
      <c r="B18" s="25" t="str">
        <f>absorbances!H5</f>
        <v>NCHA100183_FA-1</v>
      </c>
      <c r="C18" s="93">
        <v>1.1936</v>
      </c>
      <c r="D18" s="93">
        <v>1.1989000000000001</v>
      </c>
      <c r="E18" s="26">
        <f t="shared" si="0"/>
        <v>5.3000000000000824E-3</v>
      </c>
      <c r="F18" t="str">
        <f>absorbances!A1</f>
        <v>PLAQUE 4</v>
      </c>
      <c r="H18" s="103">
        <f t="shared" si="1"/>
        <v>5.3000000000000824</v>
      </c>
      <c r="I18" s="103">
        <f t="shared" si="2"/>
        <v>65.300000000000082</v>
      </c>
      <c r="J18" s="29">
        <f t="shared" si="3"/>
        <v>12.320754716980955</v>
      </c>
      <c r="K18">
        <f>J18*courbe_etalon!$F$6</f>
        <v>225.88050314465085</v>
      </c>
    </row>
    <row r="19" spans="1:11" x14ac:dyDescent="0.25">
      <c r="A19" s="45">
        <f t="shared" si="4"/>
        <v>18</v>
      </c>
      <c r="B19" s="45" t="str">
        <f>absorbances!H6</f>
        <v>NCHA100184_FA-1</v>
      </c>
      <c r="C19" s="93">
        <v>1.1951000000000001</v>
      </c>
      <c r="D19" s="93">
        <v>1.2082999999999999</v>
      </c>
      <c r="E19" s="58">
        <f t="shared" si="0"/>
        <v>1.3199999999999878E-2</v>
      </c>
      <c r="F19" t="str">
        <f>absorbances!A1</f>
        <v>PLAQUE 4</v>
      </c>
      <c r="H19" s="103">
        <f>E19*1000</f>
        <v>13.199999999999878</v>
      </c>
      <c r="I19" s="103">
        <f>H19+60</f>
        <v>73.199999999999875</v>
      </c>
      <c r="J19" s="103">
        <f>I19/H19</f>
        <v>5.5454545454545867</v>
      </c>
      <c r="K19">
        <f>J19*courbe_etalon!$F$6</f>
        <v>101.66666666666741</v>
      </c>
    </row>
    <row r="20" spans="1:11" x14ac:dyDescent="0.25">
      <c r="A20" s="25">
        <f t="shared" si="4"/>
        <v>19</v>
      </c>
      <c r="B20" s="25" t="str">
        <f>absorbances!H7</f>
        <v>NCHA100185_FA-1</v>
      </c>
      <c r="C20" s="93">
        <v>1.1986000000000001</v>
      </c>
      <c r="D20" s="93">
        <v>1.2071000000000001</v>
      </c>
      <c r="E20" s="26">
        <f t="shared" si="0"/>
        <v>8.499999999999952E-3</v>
      </c>
      <c r="F20" t="str">
        <f>absorbances!A1</f>
        <v>PLAQUE 4</v>
      </c>
      <c r="H20" s="102">
        <f t="shared" si="1"/>
        <v>8.499999999999952</v>
      </c>
      <c r="I20" s="102">
        <f t="shared" si="2"/>
        <v>68.499999999999957</v>
      </c>
      <c r="J20">
        <f t="shared" si="3"/>
        <v>8.0588235294118054</v>
      </c>
      <c r="K20">
        <f>J20*courbe_etalon!$F$6</f>
        <v>147.74509803921643</v>
      </c>
    </row>
    <row r="21" spans="1:11" x14ac:dyDescent="0.25">
      <c r="A21" s="25">
        <f t="shared" si="4"/>
        <v>20</v>
      </c>
      <c r="B21" s="25" t="str">
        <f>absorbances!H8</f>
        <v>NCHA100186_FA-1</v>
      </c>
      <c r="C21" s="93">
        <v>1.2056</v>
      </c>
      <c r="D21" s="93">
        <v>1.2079</v>
      </c>
      <c r="E21" s="26">
        <f t="shared" si="0"/>
        <v>2.2999999999999687E-3</v>
      </c>
      <c r="F21" t="str">
        <f>absorbances!A1</f>
        <v>PLAQUE 4</v>
      </c>
      <c r="H21" s="102">
        <f t="shared" si="1"/>
        <v>2.2999999999999687</v>
      </c>
      <c r="I21" s="102">
        <f t="shared" si="2"/>
        <v>62.299999999999969</v>
      </c>
      <c r="J21">
        <f t="shared" si="3"/>
        <v>27.086956521739484</v>
      </c>
      <c r="K21">
        <f>J21*courbe_etalon!$F$6</f>
        <v>496.59420289855717</v>
      </c>
    </row>
    <row r="22" spans="1:11" x14ac:dyDescent="0.25">
      <c r="A22" s="25">
        <f t="shared" si="4"/>
        <v>21</v>
      </c>
      <c r="B22" s="25" t="str">
        <f>absorbances!H9</f>
        <v>NCHA100187_FA-1</v>
      </c>
      <c r="C22" s="93">
        <v>1.1907000000000001</v>
      </c>
      <c r="D22" s="93">
        <v>1.1976</v>
      </c>
      <c r="E22" s="26">
        <f t="shared" si="0"/>
        <v>6.8999999999999062E-3</v>
      </c>
      <c r="F22" t="str">
        <f>absorbances!A1</f>
        <v>PLAQUE 4</v>
      </c>
      <c r="H22" s="102">
        <f t="shared" si="1"/>
        <v>6.8999999999999062</v>
      </c>
      <c r="I22" s="102">
        <f t="shared" si="2"/>
        <v>66.899999999999906</v>
      </c>
      <c r="J22">
        <f t="shared" si="3"/>
        <v>9.695652173913162</v>
      </c>
      <c r="K22">
        <f>J22*courbe_etalon!$F$6</f>
        <v>177.75362318840797</v>
      </c>
    </row>
    <row r="23" spans="1:11" x14ac:dyDescent="0.25">
      <c r="A23" s="25">
        <f t="shared" si="4"/>
        <v>22</v>
      </c>
      <c r="B23" s="25" t="str">
        <f>absorbances!H10</f>
        <v>NCHA100188_FA-1</v>
      </c>
      <c r="C23" s="93">
        <v>1.1948000000000001</v>
      </c>
      <c r="D23" s="93">
        <v>1.2036</v>
      </c>
      <c r="E23" s="26">
        <f t="shared" si="0"/>
        <v>8.799999999999919E-3</v>
      </c>
      <c r="F23" t="str">
        <f>absorbances!A1</f>
        <v>PLAQUE 4</v>
      </c>
      <c r="H23" s="102">
        <f t="shared" si="1"/>
        <v>8.799999999999919</v>
      </c>
      <c r="I23" s="102">
        <f t="shared" si="2"/>
        <v>68.799999999999926</v>
      </c>
      <c r="J23">
        <f t="shared" si="3"/>
        <v>7.8181818181818814</v>
      </c>
      <c r="K23">
        <f>J23*courbe_etalon!$F$6</f>
        <v>143.33333333333448</v>
      </c>
    </row>
    <row r="24" spans="1:11" x14ac:dyDescent="0.25">
      <c r="A24" s="25">
        <f t="shared" si="4"/>
        <v>23</v>
      </c>
      <c r="B24" s="25" t="str">
        <f>absorbances!H11</f>
        <v>NCHA100189_FA-1</v>
      </c>
      <c r="C24" s="93">
        <v>1.1887000000000001</v>
      </c>
      <c r="D24" s="93">
        <v>1.1973</v>
      </c>
      <c r="E24" s="26">
        <f t="shared" si="0"/>
        <v>8.599999999999941E-3</v>
      </c>
      <c r="F24" t="str">
        <f>absorbances!A1</f>
        <v>PLAQUE 4</v>
      </c>
      <c r="H24" s="102">
        <f t="shared" si="1"/>
        <v>8.599999999999941</v>
      </c>
      <c r="I24" s="102">
        <f t="shared" si="2"/>
        <v>68.599999999999937</v>
      </c>
      <c r="J24">
        <f t="shared" si="3"/>
        <v>7.9767441860465587</v>
      </c>
      <c r="K24">
        <f>J24*courbe_etalon!$F$6</f>
        <v>146.24031007752023</v>
      </c>
    </row>
    <row r="25" spans="1:11" x14ac:dyDescent="0.25">
      <c r="A25" s="47">
        <f t="shared" si="4"/>
        <v>24</v>
      </c>
      <c r="B25" s="47" t="str">
        <f>absorbances!H12</f>
        <v>NCHA100190_FA-1</v>
      </c>
      <c r="C25" s="94">
        <v>1.1932</v>
      </c>
      <c r="D25" s="94">
        <v>1.2039</v>
      </c>
      <c r="E25" s="48">
        <f t="shared" si="0"/>
        <v>1.0699999999999932E-2</v>
      </c>
      <c r="F25" s="49" t="str">
        <f>absorbances!A1</f>
        <v>PLAQUE 4</v>
      </c>
      <c r="G25" s="49"/>
      <c r="H25" s="104">
        <f t="shared" si="1"/>
        <v>10.699999999999932</v>
      </c>
      <c r="I25" s="104">
        <f t="shared" si="2"/>
        <v>70.699999999999932</v>
      </c>
      <c r="J25" s="49">
        <f t="shared" si="3"/>
        <v>6.6074766355140548</v>
      </c>
      <c r="K25" s="49">
        <f>J25*courbe_etalon!$F$6</f>
        <v>121.13707165109099</v>
      </c>
    </row>
    <row r="26" spans="1:11" x14ac:dyDescent="0.25">
      <c r="A26" s="25">
        <v>1</v>
      </c>
      <c r="B26" s="46" t="str">
        <f>absorbances!P5</f>
        <v>NCHA100239_FA-1</v>
      </c>
      <c r="C26" s="4">
        <v>1.1901999999999999</v>
      </c>
      <c r="D26" s="4">
        <v>1.1974</v>
      </c>
      <c r="E26" s="50">
        <f t="shared" si="0"/>
        <v>7.2000000000000952E-3</v>
      </c>
      <c r="F26" t="str">
        <f>absorbances!O1</f>
        <v>PLAQUE 7</v>
      </c>
      <c r="H26" s="102">
        <f t="shared" si="1"/>
        <v>7.2000000000000952</v>
      </c>
      <c r="I26" s="102">
        <f t="shared" si="2"/>
        <v>67.200000000000102</v>
      </c>
      <c r="J26">
        <f t="shared" si="3"/>
        <v>9.3333333333332238</v>
      </c>
      <c r="K26">
        <f>J26*courbe_etalon!$F$6</f>
        <v>171.1111111111091</v>
      </c>
    </row>
    <row r="27" spans="1:11" x14ac:dyDescent="0.25">
      <c r="A27" s="25">
        <f>A26+1</f>
        <v>2</v>
      </c>
      <c r="B27" s="46" t="str">
        <f>absorbances!P6</f>
        <v>NCHA100240_FA-1</v>
      </c>
      <c r="C27" s="4">
        <v>1.1904999999999999</v>
      </c>
      <c r="D27" s="4">
        <v>1.2038</v>
      </c>
      <c r="E27" s="50">
        <f t="shared" si="0"/>
        <v>1.330000000000009E-2</v>
      </c>
      <c r="F27" t="str">
        <f>absorbances!O1</f>
        <v>PLAQUE 7</v>
      </c>
      <c r="H27" s="102">
        <f t="shared" si="1"/>
        <v>13.30000000000009</v>
      </c>
      <c r="I27" s="102">
        <f t="shared" si="2"/>
        <v>73.300000000000097</v>
      </c>
      <c r="J27">
        <f t="shared" si="3"/>
        <v>5.5112781954886918</v>
      </c>
      <c r="K27">
        <f>J27*courbe_etalon!$F$6</f>
        <v>101.04010025062601</v>
      </c>
    </row>
    <row r="28" spans="1:11" x14ac:dyDescent="0.25">
      <c r="A28" s="25">
        <f t="shared" ref="A28:A49" si="5">A27+1</f>
        <v>3</v>
      </c>
      <c r="B28" s="46" t="str">
        <f>absorbances!P7</f>
        <v>NCHA100241_FA-1</v>
      </c>
      <c r="C28" s="4">
        <v>1.1884999999999999</v>
      </c>
      <c r="D28" s="4">
        <v>1.1966000000000001</v>
      </c>
      <c r="E28" s="50">
        <f t="shared" si="0"/>
        <v>8.1000000000002181E-3</v>
      </c>
      <c r="F28" t="str">
        <f>absorbances!O1</f>
        <v>PLAQUE 7</v>
      </c>
      <c r="H28" s="102">
        <f t="shared" si="1"/>
        <v>8.1000000000002181</v>
      </c>
      <c r="I28" s="102">
        <f t="shared" si="2"/>
        <v>68.100000000000222</v>
      </c>
      <c r="J28">
        <f t="shared" si="3"/>
        <v>8.4074074074072076</v>
      </c>
      <c r="K28">
        <f>J28*courbe_etalon!$F$6</f>
        <v>154.13580246913213</v>
      </c>
    </row>
    <row r="29" spans="1:11" x14ac:dyDescent="0.25">
      <c r="A29" s="25">
        <f t="shared" si="5"/>
        <v>4</v>
      </c>
      <c r="B29" s="46" t="str">
        <f>absorbances!P8</f>
        <v>NCHA100242_FA-1</v>
      </c>
      <c r="C29" s="4">
        <v>1.2054</v>
      </c>
      <c r="D29" s="4">
        <v>1.2156</v>
      </c>
      <c r="E29" s="50">
        <f t="shared" si="0"/>
        <v>1.0199999999999987E-2</v>
      </c>
      <c r="F29" t="str">
        <f>absorbances!O1</f>
        <v>PLAQUE 7</v>
      </c>
      <c r="H29" s="102">
        <f t="shared" si="1"/>
        <v>10.199999999999987</v>
      </c>
      <c r="I29" s="102">
        <f t="shared" si="2"/>
        <v>70.199999999999989</v>
      </c>
      <c r="J29">
        <f t="shared" si="3"/>
        <v>6.8823529411764781</v>
      </c>
      <c r="K29">
        <f>J29*courbe_etalon!$F$6</f>
        <v>126.17647058823542</v>
      </c>
    </row>
    <row r="30" spans="1:11" x14ac:dyDescent="0.25">
      <c r="A30" s="25">
        <f t="shared" si="5"/>
        <v>5</v>
      </c>
      <c r="B30" s="46" t="str">
        <f>absorbances!P9</f>
        <v>NCHA100243_FA-1</v>
      </c>
      <c r="C30" s="4">
        <v>1.1889000000000001</v>
      </c>
      <c r="D30" s="4">
        <v>1.1922999999999999</v>
      </c>
      <c r="E30" s="50">
        <f t="shared" si="0"/>
        <v>3.3999999999998476E-3</v>
      </c>
      <c r="F30" t="str">
        <f>absorbances!O1</f>
        <v>PLAQUE 7</v>
      </c>
      <c r="H30" s="102">
        <f t="shared" si="1"/>
        <v>3.3999999999998476</v>
      </c>
      <c r="I30" s="102">
        <f t="shared" si="2"/>
        <v>63.399999999999849</v>
      </c>
      <c r="J30">
        <f t="shared" si="3"/>
        <v>18.647058823530202</v>
      </c>
      <c r="K30">
        <f>J30*courbe_etalon!$F$6</f>
        <v>341.86274509805367</v>
      </c>
    </row>
    <row r="31" spans="1:11" x14ac:dyDescent="0.25">
      <c r="A31" s="25">
        <f t="shared" si="5"/>
        <v>6</v>
      </c>
      <c r="B31" s="46" t="str">
        <f>absorbances!P10</f>
        <v>NCHA100244_FA-1</v>
      </c>
      <c r="C31" s="4">
        <v>1.2025999999999999</v>
      </c>
      <c r="D31" s="4">
        <v>1.2102999999999999</v>
      </c>
      <c r="E31" s="50">
        <f t="shared" si="0"/>
        <v>7.7000000000000401E-3</v>
      </c>
      <c r="F31" t="str">
        <f>absorbances!O1</f>
        <v>PLAQUE 7</v>
      </c>
      <c r="H31" s="102">
        <f t="shared" si="1"/>
        <v>7.7000000000000401</v>
      </c>
      <c r="I31" s="102">
        <f t="shared" si="2"/>
        <v>67.700000000000045</v>
      </c>
      <c r="J31">
        <f t="shared" si="3"/>
        <v>8.7922077922077531</v>
      </c>
      <c r="K31">
        <f>J31*courbe_etalon!$F$6</f>
        <v>161.19047619047547</v>
      </c>
    </row>
    <row r="32" spans="1:11" x14ac:dyDescent="0.25">
      <c r="A32" s="25">
        <f t="shared" si="5"/>
        <v>7</v>
      </c>
      <c r="B32" s="46" t="str">
        <f>absorbances!P11</f>
        <v>NCHA100245_FA-1</v>
      </c>
      <c r="C32" s="4">
        <v>1.2025999999999999</v>
      </c>
      <c r="D32" s="4">
        <v>1.2117</v>
      </c>
      <c r="E32" s="50">
        <f t="shared" si="0"/>
        <v>9.100000000000108E-3</v>
      </c>
      <c r="F32" t="str">
        <f>absorbances!O1</f>
        <v>PLAQUE 7</v>
      </c>
      <c r="H32" s="102">
        <f t="shared" si="1"/>
        <v>9.100000000000108</v>
      </c>
      <c r="I32" s="102">
        <f t="shared" si="2"/>
        <v>69.100000000000108</v>
      </c>
      <c r="J32">
        <f t="shared" si="3"/>
        <v>7.5934065934065149</v>
      </c>
      <c r="K32">
        <f>J32*courbe_etalon!$F$6</f>
        <v>139.21245421245277</v>
      </c>
    </row>
    <row r="33" spans="1:11" x14ac:dyDescent="0.25">
      <c r="A33" s="25">
        <f t="shared" si="5"/>
        <v>8</v>
      </c>
      <c r="B33" s="46" t="str">
        <f>absorbances!P12</f>
        <v>NCHA100246_FA-1</v>
      </c>
      <c r="C33" s="4">
        <v>1.1934</v>
      </c>
      <c r="D33" s="4">
        <v>1.2014</v>
      </c>
      <c r="E33" s="50">
        <f t="shared" si="0"/>
        <v>8.0000000000000071E-3</v>
      </c>
      <c r="F33" t="str">
        <f>absorbances!O1</f>
        <v>PLAQUE 7</v>
      </c>
      <c r="H33" s="102">
        <f t="shared" si="1"/>
        <v>8.0000000000000071</v>
      </c>
      <c r="I33" s="102">
        <f t="shared" si="2"/>
        <v>68</v>
      </c>
      <c r="J33">
        <f t="shared" si="3"/>
        <v>8.4999999999999929</v>
      </c>
      <c r="K33">
        <f>J33*courbe_etalon!$F$6</f>
        <v>155.8333333333332</v>
      </c>
    </row>
    <row r="34" spans="1:11" x14ac:dyDescent="0.25">
      <c r="A34" s="25">
        <f t="shared" si="5"/>
        <v>9</v>
      </c>
      <c r="B34" s="46" t="str">
        <f>absorbances!S5</f>
        <v>NCHA100247_FA-1</v>
      </c>
      <c r="C34" s="4">
        <v>1.2042999999999999</v>
      </c>
      <c r="D34" s="4">
        <v>1.2153</v>
      </c>
      <c r="E34" s="50">
        <f t="shared" si="0"/>
        <v>1.1000000000000121E-2</v>
      </c>
      <c r="F34" t="str">
        <f>absorbances!O1</f>
        <v>PLAQUE 7</v>
      </c>
      <c r="H34" s="102">
        <f t="shared" si="1"/>
        <v>11.000000000000121</v>
      </c>
      <c r="I34" s="102">
        <f t="shared" si="2"/>
        <v>71.000000000000114</v>
      </c>
      <c r="J34">
        <f t="shared" si="3"/>
        <v>6.4545454545453937</v>
      </c>
      <c r="K34">
        <f>J34*courbe_etalon!$F$6</f>
        <v>118.33333333333221</v>
      </c>
    </row>
    <row r="35" spans="1:11" x14ac:dyDescent="0.25">
      <c r="A35" s="45">
        <f t="shared" si="5"/>
        <v>10</v>
      </c>
      <c r="B35" s="46" t="str">
        <f>absorbances!S6</f>
        <v>NCHA100248_FA-1</v>
      </c>
      <c r="C35" s="4">
        <v>1.2043999999999999</v>
      </c>
      <c r="D35" s="4">
        <v>1.2136</v>
      </c>
      <c r="E35" s="50">
        <f t="shared" si="0"/>
        <v>9.200000000000097E-3</v>
      </c>
      <c r="F35" t="str">
        <f>absorbances!O1</f>
        <v>PLAQUE 7</v>
      </c>
      <c r="H35" s="102">
        <f t="shared" si="1"/>
        <v>9.200000000000097</v>
      </c>
      <c r="I35" s="102">
        <f t="shared" si="2"/>
        <v>69.200000000000102</v>
      </c>
      <c r="J35">
        <f t="shared" si="3"/>
        <v>7.5217391304347148</v>
      </c>
      <c r="K35">
        <f>J35*courbe_etalon!$F$6</f>
        <v>137.89855072463644</v>
      </c>
    </row>
    <row r="36" spans="1:11" x14ac:dyDescent="0.25">
      <c r="A36" s="45">
        <f t="shared" si="5"/>
        <v>11</v>
      </c>
      <c r="B36" s="46" t="str">
        <f>absorbances!S7</f>
        <v>NCHA100249_FA-1</v>
      </c>
      <c r="C36" s="4">
        <v>1.1932</v>
      </c>
      <c r="D36" s="4">
        <v>1.2078</v>
      </c>
      <c r="E36" s="50">
        <f t="shared" si="0"/>
        <v>1.4599999999999946E-2</v>
      </c>
      <c r="F36" t="str">
        <f>absorbances!O1</f>
        <v>PLAQUE 7</v>
      </c>
      <c r="H36" s="102">
        <f t="shared" si="1"/>
        <v>14.599999999999946</v>
      </c>
      <c r="I36" s="102">
        <f t="shared" si="2"/>
        <v>74.599999999999952</v>
      </c>
      <c r="J36">
        <f t="shared" si="3"/>
        <v>5.1095890410959059</v>
      </c>
      <c r="K36">
        <f>J36*courbe_etalon!$F$6</f>
        <v>93.675799086758275</v>
      </c>
    </row>
    <row r="37" spans="1:11" x14ac:dyDescent="0.25">
      <c r="A37" s="45">
        <f t="shared" si="5"/>
        <v>12</v>
      </c>
      <c r="B37" s="46" t="str">
        <f>absorbances!S8</f>
        <v>NCHA100250_FA-1</v>
      </c>
      <c r="C37" s="4">
        <v>1.2019</v>
      </c>
      <c r="D37" s="4">
        <v>1.208</v>
      </c>
      <c r="E37" s="50">
        <f t="shared" si="0"/>
        <v>6.0999999999999943E-3</v>
      </c>
      <c r="F37" t="str">
        <f>absorbances!O1</f>
        <v>PLAQUE 7</v>
      </c>
      <c r="H37" s="102">
        <f t="shared" si="1"/>
        <v>6.0999999999999943</v>
      </c>
      <c r="I37" s="102">
        <f t="shared" si="2"/>
        <v>66.099999999999994</v>
      </c>
      <c r="J37">
        <f t="shared" si="3"/>
        <v>10.836065573770501</v>
      </c>
      <c r="K37">
        <f>J37*courbe_etalon!$F$6</f>
        <v>198.66120218579252</v>
      </c>
    </row>
    <row r="38" spans="1:11" x14ac:dyDescent="0.25">
      <c r="A38" s="45">
        <f t="shared" si="5"/>
        <v>13</v>
      </c>
      <c r="B38" s="46" t="str">
        <f>absorbances!S9</f>
        <v>NCHA100251_FA-1</v>
      </c>
      <c r="C38" s="4">
        <v>1.1902999999999999</v>
      </c>
      <c r="D38" s="4">
        <v>1.2009000000000001</v>
      </c>
      <c r="E38" s="50">
        <f t="shared" si="0"/>
        <v>1.0600000000000165E-2</v>
      </c>
      <c r="F38" t="str">
        <f>absorbances!O1</f>
        <v>PLAQUE 7</v>
      </c>
      <c r="H38" s="102">
        <f t="shared" si="1"/>
        <v>10.600000000000165</v>
      </c>
      <c r="I38" s="102">
        <f t="shared" si="2"/>
        <v>70.600000000000165</v>
      </c>
      <c r="J38">
        <f t="shared" si="3"/>
        <v>6.6603773584904777</v>
      </c>
      <c r="K38">
        <f>J38*courbe_etalon!$F$6</f>
        <v>122.10691823899208</v>
      </c>
    </row>
    <row r="39" spans="1:11" x14ac:dyDescent="0.25">
      <c r="A39" s="45">
        <f t="shared" si="5"/>
        <v>14</v>
      </c>
      <c r="B39" s="46" t="str">
        <f>absorbances!S10</f>
        <v>NCHA100252_FA-1</v>
      </c>
      <c r="C39" s="4">
        <v>1.1933</v>
      </c>
      <c r="D39" s="4">
        <v>1.2030000000000001</v>
      </c>
      <c r="E39" s="50">
        <f t="shared" si="0"/>
        <v>9.7000000000000419E-3</v>
      </c>
      <c r="F39" t="str">
        <f>absorbances!O1</f>
        <v>PLAQUE 7</v>
      </c>
      <c r="H39" s="102">
        <f t="shared" si="1"/>
        <v>9.7000000000000419</v>
      </c>
      <c r="I39" s="102">
        <f t="shared" si="2"/>
        <v>69.700000000000045</v>
      </c>
      <c r="J39">
        <f t="shared" si="3"/>
        <v>7.1855670103092519</v>
      </c>
      <c r="K39">
        <f>J39*courbe_etalon!$F$6</f>
        <v>131.73539518900296</v>
      </c>
    </row>
    <row r="40" spans="1:11" x14ac:dyDescent="0.25">
      <c r="A40" s="45">
        <f t="shared" si="5"/>
        <v>15</v>
      </c>
      <c r="B40" s="46" t="str">
        <f>absorbances!S11</f>
        <v>NCHA100253_FA-1</v>
      </c>
      <c r="C40" s="4">
        <v>1.2044999999999999</v>
      </c>
      <c r="D40" s="4">
        <v>1.2098</v>
      </c>
      <c r="E40" s="50">
        <f t="shared" si="0"/>
        <v>5.3000000000000824E-3</v>
      </c>
      <c r="F40" t="str">
        <f>absorbances!O1</f>
        <v>PLAQUE 7</v>
      </c>
      <c r="H40" s="102">
        <f t="shared" si="1"/>
        <v>5.3000000000000824</v>
      </c>
      <c r="I40" s="102">
        <f t="shared" si="2"/>
        <v>65.300000000000082</v>
      </c>
      <c r="J40">
        <f t="shared" si="3"/>
        <v>12.320754716980955</v>
      </c>
      <c r="K40">
        <f>J40*courbe_etalon!$F$6</f>
        <v>225.88050314465085</v>
      </c>
    </row>
    <row r="41" spans="1:11" x14ac:dyDescent="0.25">
      <c r="A41" s="45">
        <f t="shared" si="5"/>
        <v>16</v>
      </c>
      <c r="B41" s="46" t="str">
        <f>absorbances!S12</f>
        <v>NCHA100254_FA-1</v>
      </c>
      <c r="C41" s="4">
        <v>1.1930000000000001</v>
      </c>
      <c r="D41" s="4">
        <v>1.2021999999999999</v>
      </c>
      <c r="E41" s="50">
        <f t="shared" si="0"/>
        <v>9.1999999999998749E-3</v>
      </c>
      <c r="F41" t="str">
        <f>absorbances!O1</f>
        <v>PLAQUE 7</v>
      </c>
      <c r="H41" s="102">
        <f t="shared" si="1"/>
        <v>9.1999999999998749</v>
      </c>
      <c r="I41" s="102">
        <f t="shared" si="2"/>
        <v>69.199999999999875</v>
      </c>
      <c r="J41">
        <f t="shared" si="3"/>
        <v>7.5217391304348711</v>
      </c>
      <c r="K41">
        <f>J41*courbe_etalon!$F$6</f>
        <v>137.89855072463931</v>
      </c>
    </row>
    <row r="42" spans="1:11" x14ac:dyDescent="0.25">
      <c r="A42" s="45">
        <f t="shared" si="5"/>
        <v>17</v>
      </c>
      <c r="B42" s="46" t="str">
        <f>absorbances!V5</f>
        <v>NCHA100255_FA-1</v>
      </c>
      <c r="C42" s="92">
        <v>1.2049000000000001</v>
      </c>
      <c r="D42" s="92">
        <v>1.2265999999999999</v>
      </c>
      <c r="E42" s="50">
        <f t="shared" si="0"/>
        <v>2.1699999999999831E-2</v>
      </c>
      <c r="F42" t="str">
        <f>absorbances!O1</f>
        <v>PLAQUE 7</v>
      </c>
      <c r="H42" s="102">
        <f t="shared" si="1"/>
        <v>21.699999999999832</v>
      </c>
      <c r="I42" s="102">
        <f t="shared" si="2"/>
        <v>81.699999999999832</v>
      </c>
      <c r="J42">
        <f t="shared" si="3"/>
        <v>3.764976958525367</v>
      </c>
      <c r="K42">
        <f>J42*courbe_etalon!$F$6</f>
        <v>69.024577572965057</v>
      </c>
    </row>
    <row r="43" spans="1:11" x14ac:dyDescent="0.25">
      <c r="A43" s="95">
        <f t="shared" si="5"/>
        <v>18</v>
      </c>
      <c r="B43" s="46" t="str">
        <f>absorbances!V6</f>
        <v>NCHA100256_FA-1</v>
      </c>
      <c r="C43" s="92">
        <v>1.1886000000000001</v>
      </c>
      <c r="D43" s="92">
        <v>1.1931</v>
      </c>
      <c r="E43" s="50">
        <f t="shared" si="0"/>
        <v>4.4999999999999485E-3</v>
      </c>
      <c r="F43" s="51" t="str">
        <f>absorbances!O1</f>
        <v>PLAQUE 7</v>
      </c>
      <c r="H43" s="102">
        <f t="shared" si="1"/>
        <v>4.4999999999999485</v>
      </c>
      <c r="I43" s="102">
        <f t="shared" si="2"/>
        <v>64.499999999999943</v>
      </c>
      <c r="J43">
        <f t="shared" si="3"/>
        <v>14.333333333333485</v>
      </c>
      <c r="K43">
        <f>J43*courbe_etalon!$F$6</f>
        <v>262.77777777778056</v>
      </c>
    </row>
    <row r="44" spans="1:11" x14ac:dyDescent="0.25">
      <c r="A44" s="95">
        <f t="shared" si="5"/>
        <v>19</v>
      </c>
      <c r="B44" s="46" t="str">
        <f>absorbances!V7</f>
        <v>NCHA100257_FA-1</v>
      </c>
      <c r="C44" s="92">
        <v>1.1935</v>
      </c>
      <c r="D44" s="92">
        <v>1.2115</v>
      </c>
      <c r="E44" s="50">
        <f t="shared" si="0"/>
        <v>1.8000000000000016E-2</v>
      </c>
      <c r="F44" s="51" t="str">
        <f>absorbances!O1</f>
        <v>PLAQUE 7</v>
      </c>
      <c r="H44" s="102">
        <f t="shared" si="1"/>
        <v>18.000000000000014</v>
      </c>
      <c r="I44" s="102">
        <f t="shared" si="2"/>
        <v>78.000000000000014</v>
      </c>
      <c r="J44">
        <f t="shared" si="3"/>
        <v>4.3333333333333304</v>
      </c>
      <c r="K44">
        <f>J44*courbe_etalon!$F$6</f>
        <v>79.444444444444386</v>
      </c>
    </row>
    <row r="45" spans="1:11" x14ac:dyDescent="0.25">
      <c r="A45" s="95">
        <f t="shared" si="5"/>
        <v>20</v>
      </c>
      <c r="B45" s="46" t="str">
        <f>absorbances!V8</f>
        <v>NCHA100258_FA-1</v>
      </c>
      <c r="C45" s="92">
        <v>1.2024999999999999</v>
      </c>
      <c r="D45" s="92">
        <v>1.2118</v>
      </c>
      <c r="E45" s="50">
        <f t="shared" si="0"/>
        <v>9.300000000000086E-3</v>
      </c>
      <c r="F45" s="51" t="str">
        <f>absorbances!O1</f>
        <v>PLAQUE 7</v>
      </c>
      <c r="H45" s="102">
        <f t="shared" si="1"/>
        <v>9.300000000000086</v>
      </c>
      <c r="I45" s="102">
        <f t="shared" si="2"/>
        <v>69.300000000000082</v>
      </c>
      <c r="J45">
        <f t="shared" si="3"/>
        <v>7.4516129032257465</v>
      </c>
      <c r="K45">
        <f>J45*courbe_etalon!$F$6</f>
        <v>136.61290322580535</v>
      </c>
    </row>
    <row r="46" spans="1:11" x14ac:dyDescent="0.25">
      <c r="A46" s="95">
        <f t="shared" si="5"/>
        <v>21</v>
      </c>
      <c r="B46" s="46" t="str">
        <f>absorbances!V9</f>
        <v>NCHA100259_FA-1</v>
      </c>
      <c r="C46" s="92">
        <v>1.2032</v>
      </c>
      <c r="D46" s="92">
        <v>1.2116</v>
      </c>
      <c r="E46" s="50">
        <f t="shared" si="0"/>
        <v>8.3999999999999631E-3</v>
      </c>
      <c r="F46" s="51" t="str">
        <f>absorbances!O1</f>
        <v>PLAQUE 7</v>
      </c>
      <c r="H46" s="102">
        <f t="shared" si="1"/>
        <v>8.3999999999999631</v>
      </c>
      <c r="I46" s="102">
        <f t="shared" si="2"/>
        <v>68.399999999999963</v>
      </c>
      <c r="J46">
        <f t="shared" si="3"/>
        <v>8.1428571428571743</v>
      </c>
      <c r="K46">
        <f>J46*courbe_etalon!$F$6</f>
        <v>149.28571428571485</v>
      </c>
    </row>
    <row r="47" spans="1:11" x14ac:dyDescent="0.25">
      <c r="A47" s="95">
        <f t="shared" si="5"/>
        <v>22</v>
      </c>
      <c r="B47" s="46" t="str">
        <f>absorbances!V10</f>
        <v>NCHA100260_FA-1</v>
      </c>
      <c r="C47" s="92">
        <v>1.2024999999999999</v>
      </c>
      <c r="D47" s="92">
        <v>1.2111000000000001</v>
      </c>
      <c r="E47" s="50">
        <f t="shared" si="0"/>
        <v>8.6000000000001631E-3</v>
      </c>
      <c r="F47" s="51" t="str">
        <f>absorbances!O1</f>
        <v>PLAQUE 7</v>
      </c>
      <c r="H47" s="102">
        <f t="shared" si="1"/>
        <v>8.6000000000001631</v>
      </c>
      <c r="I47" s="102">
        <f t="shared" si="2"/>
        <v>68.600000000000165</v>
      </c>
      <c r="J47">
        <f t="shared" si="3"/>
        <v>7.9767441860463792</v>
      </c>
      <c r="K47">
        <f>J47*courbe_etalon!$F$6</f>
        <v>146.24031007751694</v>
      </c>
    </row>
    <row r="48" spans="1:11" x14ac:dyDescent="0.25">
      <c r="A48" s="95">
        <f t="shared" si="5"/>
        <v>23</v>
      </c>
      <c r="B48" s="46" t="str">
        <f>absorbances!V11</f>
        <v>NCHA100261_FA-1</v>
      </c>
      <c r="C48" s="92">
        <v>1.1906000000000001</v>
      </c>
      <c r="D48" s="92">
        <v>1.1953</v>
      </c>
      <c r="E48" s="50">
        <f t="shared" si="0"/>
        <v>4.6999999999999265E-3</v>
      </c>
      <c r="F48" s="51" t="str">
        <f>absorbances!O1</f>
        <v>PLAQUE 7</v>
      </c>
      <c r="H48" s="102">
        <f t="shared" si="1"/>
        <v>4.6999999999999265</v>
      </c>
      <c r="I48" s="102">
        <f t="shared" si="2"/>
        <v>64.699999999999932</v>
      </c>
      <c r="J48">
        <f t="shared" si="3"/>
        <v>13.765957446808711</v>
      </c>
      <c r="K48">
        <f>J48*courbe_etalon!$F$6</f>
        <v>252.37588652482634</v>
      </c>
    </row>
    <row r="49" spans="1:11" x14ac:dyDescent="0.25">
      <c r="A49" s="95">
        <f t="shared" si="5"/>
        <v>24</v>
      </c>
      <c r="B49" s="46" t="str">
        <f>absorbances!V12</f>
        <v>NCHA100262_FA-1</v>
      </c>
      <c r="C49" s="92">
        <v>1.1906000000000001</v>
      </c>
      <c r="D49" s="92">
        <v>1.1977</v>
      </c>
      <c r="E49" s="50">
        <f t="shared" si="0"/>
        <v>7.0999999999998842E-3</v>
      </c>
      <c r="F49" s="51" t="str">
        <f>absorbances!O1</f>
        <v>PLAQUE 7</v>
      </c>
      <c r="H49" s="102">
        <f t="shared" si="1"/>
        <v>7.0999999999998842</v>
      </c>
      <c r="I49" s="102">
        <f t="shared" si="2"/>
        <v>67.099999999999881</v>
      </c>
      <c r="J49">
        <f t="shared" si="3"/>
        <v>9.4507042253522506</v>
      </c>
      <c r="K49">
        <f>J49*courbe_etalon!$F$6</f>
        <v>173.26291079812458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topLeftCell="E1" zoomScale="85" zoomScaleNormal="85" workbookViewId="0">
      <pane ySplit="1" topLeftCell="A7" activePane="bottomLeft" state="frozen"/>
      <selection pane="bottomLeft" activeCell="F26" sqref="F26:F49"/>
    </sheetView>
  </sheetViews>
  <sheetFormatPr baseColWidth="10" defaultColWidth="16.7109375" defaultRowHeight="15" x14ac:dyDescent="0.25"/>
  <cols>
    <col min="6" max="6" width="25.28515625" customWidth="1"/>
  </cols>
  <sheetData>
    <row r="1" spans="1:12" x14ac:dyDescent="0.25">
      <c r="A1" s="27" t="s">
        <v>26</v>
      </c>
      <c r="B1" s="27" t="s">
        <v>12</v>
      </c>
      <c r="C1" s="27" t="s">
        <v>13</v>
      </c>
      <c r="D1" s="27"/>
      <c r="E1" s="27" t="s">
        <v>16</v>
      </c>
      <c r="F1" s="27" t="s">
        <v>18</v>
      </c>
      <c r="G1" s="27" t="s">
        <v>19</v>
      </c>
      <c r="H1" s="28"/>
      <c r="I1" s="27" t="s">
        <v>24</v>
      </c>
      <c r="J1" s="27" t="s">
        <v>25</v>
      </c>
      <c r="K1" s="27" t="s">
        <v>51</v>
      </c>
      <c r="L1" s="27" t="s">
        <v>50</v>
      </c>
    </row>
    <row r="2" spans="1:12" s="29" customFormat="1" x14ac:dyDescent="0.25">
      <c r="A2" s="29" t="str">
        <f>absorbances!B5</f>
        <v>NCHA100167_FA-1</v>
      </c>
      <c r="B2" s="29" t="str">
        <f>LEFT(A2,FIND("_",A2)-1)</f>
        <v>NCHA100167</v>
      </c>
      <c r="C2" s="29">
        <f>AVERAGE(absorbances!B52:D52)</f>
        <v>0.59966666666666668</v>
      </c>
      <c r="E2" s="39">
        <f>courbe_etalon!$F$3*EXP((courbe_etalon!$G$3*quantification!C2))</f>
        <v>13.041985674955216</v>
      </c>
      <c r="F2" s="29">
        <f>E2*poids!K2</f>
        <v>1645.5917219281441</v>
      </c>
      <c r="G2" s="29">
        <f>F2/1000</f>
        <v>1.6455917219281442</v>
      </c>
      <c r="I2" s="29">
        <f>G2*15/1000</f>
        <v>2.4683875828922161E-2</v>
      </c>
      <c r="J2" s="29">
        <f>I2/poids!E2</f>
        <v>2.419987826364868</v>
      </c>
      <c r="K2" s="29">
        <f>J2*1000</f>
        <v>2419.9878263648679</v>
      </c>
      <c r="L2" s="29" t="str">
        <f>poids!F2</f>
        <v>PLAQUE 4</v>
      </c>
    </row>
    <row r="3" spans="1:12" x14ac:dyDescent="0.25">
      <c r="A3" t="str">
        <f>absorbances!B6</f>
        <v>NCHA100168_FA-1</v>
      </c>
      <c r="B3" t="str">
        <f t="shared" ref="B3:B49" si="0">LEFT(A3,FIND("_",A3)-1)</f>
        <v>NCHA100168</v>
      </c>
      <c r="C3" s="29">
        <f>AVERAGE(absorbances!B53:D53)</f>
        <v>0.5143333333333332</v>
      </c>
      <c r="E3" s="18">
        <f>courbe_etalon!$F$3*EXP((courbe_etalon!$G$3*quantification!C3))</f>
        <v>7.3846354702022596</v>
      </c>
      <c r="F3" s="29">
        <f>E3*poids!K3</f>
        <v>1901.2760743209387</v>
      </c>
      <c r="G3">
        <f t="shared" ref="G3:G49" si="1">F3/1000</f>
        <v>1.9012760743209387</v>
      </c>
      <c r="I3">
        <f>G3*15/1000</f>
        <v>2.851914111481408E-2</v>
      </c>
      <c r="J3">
        <f>I3/poids!E3</f>
        <v>6.1998132858292321</v>
      </c>
      <c r="K3" s="29">
        <f t="shared" ref="K3:K49" si="2">J3*1000</f>
        <v>6199.813285829232</v>
      </c>
      <c r="L3" s="29" t="str">
        <f>poids!F3</f>
        <v>PLAQUE 4</v>
      </c>
    </row>
    <row r="4" spans="1:12" x14ac:dyDescent="0.25">
      <c r="A4" t="str">
        <f>absorbances!B7</f>
        <v>NCHA100169_FA-1</v>
      </c>
      <c r="B4" t="str">
        <f t="shared" si="0"/>
        <v>NCHA100169</v>
      </c>
      <c r="C4" s="29">
        <f>AVERAGE(absorbances!B54:D54)</f>
        <v>0.53266666666666673</v>
      </c>
      <c r="E4" s="18">
        <f>courbe_etalon!$F$3*EXP((courbe_etalon!$G$3*quantification!C4))</f>
        <v>8.3444673012326902</v>
      </c>
      <c r="F4" s="29">
        <f>E4*poids!K4</f>
        <v>837.97548495214448</v>
      </c>
      <c r="G4">
        <f t="shared" si="1"/>
        <v>0.83797548495214447</v>
      </c>
      <c r="I4">
        <f>G4*15/1000</f>
        <v>1.2569632274282167E-2</v>
      </c>
      <c r="J4">
        <f>I4/poids!E4</f>
        <v>0.93803225927478306</v>
      </c>
      <c r="K4" s="29">
        <f t="shared" si="2"/>
        <v>938.03225927478309</v>
      </c>
      <c r="L4" s="29" t="str">
        <f>poids!F4</f>
        <v>PLAQUE 4</v>
      </c>
    </row>
    <row r="5" spans="1:12" x14ac:dyDescent="0.25">
      <c r="A5" t="str">
        <f>absorbances!B8</f>
        <v>NCHA100170_FA-1</v>
      </c>
      <c r="B5" t="str">
        <f t="shared" si="0"/>
        <v>NCHA100170</v>
      </c>
      <c r="C5" s="29">
        <f>AVERAGE(absorbances!B55:D55)</f>
        <v>0.59899999999999998</v>
      </c>
      <c r="E5" s="18">
        <f>courbe_etalon!$F$3*EXP((courbe_etalon!$G$3*quantification!C5))</f>
        <v>12.984161743303945</v>
      </c>
      <c r="F5" s="29">
        <f>E5*poids!K5</f>
        <v>2788.5033077286871</v>
      </c>
      <c r="G5">
        <f t="shared" si="1"/>
        <v>2.7885033077286869</v>
      </c>
      <c r="I5">
        <f>G5*15/1000</f>
        <v>4.1827549615930298E-2</v>
      </c>
      <c r="J5">
        <f>I5/poids!E5</f>
        <v>7.4692052885592117</v>
      </c>
      <c r="K5" s="29">
        <f t="shared" si="2"/>
        <v>7469.205288559212</v>
      </c>
      <c r="L5" s="29" t="str">
        <f>poids!F5</f>
        <v>PLAQUE 4</v>
      </c>
    </row>
    <row r="6" spans="1:12" x14ac:dyDescent="0.25">
      <c r="A6" t="str">
        <f>absorbances!B9</f>
        <v>NCHA100171_FA-1</v>
      </c>
      <c r="B6" t="str">
        <f t="shared" si="0"/>
        <v>NCHA100171</v>
      </c>
      <c r="C6" s="29">
        <f>AVERAGE(absorbances!B56:D56)</f>
        <v>0.56199999999999994</v>
      </c>
      <c r="E6" s="18">
        <f>courbe_etalon!$F$3*EXP((courbe_etalon!$G$3*quantification!C6))</f>
        <v>10.146351545861494</v>
      </c>
      <c r="F6" s="29">
        <f>E6*poids!K6</f>
        <v>1563.9160376553184</v>
      </c>
      <c r="G6">
        <f t="shared" si="1"/>
        <v>1.5639160376553185</v>
      </c>
      <c r="I6">
        <f>G6*15/1000</f>
        <v>2.3458740564829779E-2</v>
      </c>
      <c r="J6">
        <f>I6/poids!E6</f>
        <v>2.8961408104728137</v>
      </c>
      <c r="K6" s="29">
        <f t="shared" si="2"/>
        <v>2896.1408104728139</v>
      </c>
      <c r="L6" s="29" t="str">
        <f>poids!F6</f>
        <v>PLAQUE 4</v>
      </c>
    </row>
    <row r="7" spans="1:12" x14ac:dyDescent="0.25">
      <c r="A7" t="str">
        <f>absorbances!B10</f>
        <v>NCHA100172_FA-1</v>
      </c>
      <c r="B7" t="str">
        <f t="shared" si="0"/>
        <v>NCHA100172</v>
      </c>
      <c r="C7" s="29">
        <f>AVERAGE(absorbances!B57:D57)</f>
        <v>0.41799999999999998</v>
      </c>
      <c r="E7" s="18">
        <f>courbe_etalon!$F$3*EXP((courbe_etalon!$G$3*quantification!C7))</f>
        <v>3.8857304620251725</v>
      </c>
      <c r="F7" s="29">
        <f>E7*poids!K7</f>
        <v>507.39181101070056</v>
      </c>
      <c r="G7">
        <f t="shared" si="1"/>
        <v>0.50739181101070052</v>
      </c>
      <c r="I7">
        <f t="shared" ref="I7:I49" si="3">G7*15/1000</f>
        <v>7.6108771651605079E-3</v>
      </c>
      <c r="J7">
        <f>I7/poids!E7</f>
        <v>0.7766201188939269</v>
      </c>
      <c r="K7" s="29">
        <f t="shared" si="2"/>
        <v>776.62011889392693</v>
      </c>
      <c r="L7" s="29" t="str">
        <f>poids!F7</f>
        <v>PLAQUE 4</v>
      </c>
    </row>
    <row r="8" spans="1:12" x14ac:dyDescent="0.25">
      <c r="A8" t="str">
        <f>absorbances!B11</f>
        <v>NCHA100173_FA-1</v>
      </c>
      <c r="B8" t="str">
        <f t="shared" si="0"/>
        <v>NCHA100173</v>
      </c>
      <c r="C8" s="29">
        <f>AVERAGE(absorbances!B58:D58)</f>
        <v>0.67733333333333334</v>
      </c>
      <c r="E8" s="18">
        <f>courbe_etalon!$F$3*EXP((courbe_etalon!$G$3*quantification!C8))</f>
        <v>21.885962595316592</v>
      </c>
      <c r="F8" s="29">
        <f>E8*poids!K8</f>
        <v>2962.3659300114487</v>
      </c>
      <c r="G8">
        <f t="shared" si="1"/>
        <v>2.9623659300114484</v>
      </c>
      <c r="I8">
        <f t="shared" si="3"/>
        <v>4.4435488950171721E-2</v>
      </c>
      <c r="J8">
        <f>I8/poids!E8</f>
        <v>4.7271796755501452</v>
      </c>
      <c r="K8" s="29">
        <f t="shared" si="2"/>
        <v>4727.1796755501455</v>
      </c>
      <c r="L8" s="29" t="str">
        <f>poids!F8</f>
        <v>PLAQUE 4</v>
      </c>
    </row>
    <row r="9" spans="1:12" x14ac:dyDescent="0.25">
      <c r="A9" t="str">
        <f>absorbances!B12</f>
        <v>NCHA100174_FA-1</v>
      </c>
      <c r="B9" t="str">
        <f t="shared" si="0"/>
        <v>NCHA100174</v>
      </c>
      <c r="C9" s="29">
        <f>AVERAGE(absorbances!B59:D59)</f>
        <v>0.71799999999999997</v>
      </c>
      <c r="E9" s="18">
        <f>courbe_etalon!$F$3*EXP((courbe_etalon!$G$3*quantification!C9))</f>
        <v>28.700110911180111</v>
      </c>
      <c r="F9" s="29">
        <f>E9*poids!K9</f>
        <v>5969.2931831933338</v>
      </c>
      <c r="G9">
        <f t="shared" si="1"/>
        <v>5.9692931831933338</v>
      </c>
      <c r="I9">
        <f t="shared" si="3"/>
        <v>8.9539397747900012E-2</v>
      </c>
      <c r="J9">
        <f>I9/poids!E9</f>
        <v>15.437827197914313</v>
      </c>
      <c r="K9" s="29">
        <f t="shared" si="2"/>
        <v>15437.827197914314</v>
      </c>
      <c r="L9" s="29" t="str">
        <f>poids!F9</f>
        <v>PLAQUE 4</v>
      </c>
    </row>
    <row r="10" spans="1:12" s="29" customFormat="1" x14ac:dyDescent="0.25">
      <c r="A10" s="29" t="str">
        <f>absorbances!E5</f>
        <v>NCHA100175_FA-1</v>
      </c>
      <c r="B10" s="29" t="str">
        <f t="shared" si="0"/>
        <v>NCHA100175</v>
      </c>
      <c r="C10" s="29">
        <f>AVERAGE(absorbances!E52:G52)</f>
        <v>0.60833333333333339</v>
      </c>
      <c r="E10" s="39">
        <f>courbe_etalon!$F$3*EXP((courbe_etalon!$G$3*quantification!C10))</f>
        <v>13.817553186430874</v>
      </c>
      <c r="F10" s="29">
        <f>E10*poids!K10</f>
        <v>2556.2473394897329</v>
      </c>
      <c r="G10" s="29">
        <f t="shared" si="1"/>
        <v>2.5562473394897327</v>
      </c>
      <c r="I10" s="29">
        <f t="shared" si="3"/>
        <v>3.8343710092345995E-2</v>
      </c>
      <c r="J10" s="29">
        <f>I10/poids!E10</f>
        <v>5.809653044294901</v>
      </c>
      <c r="K10" s="29">
        <f t="shared" si="2"/>
        <v>5809.6530442949006</v>
      </c>
      <c r="L10" s="29" t="str">
        <f>poids!F10</f>
        <v>PLAQUE 4</v>
      </c>
    </row>
    <row r="11" spans="1:12" x14ac:dyDescent="0.25">
      <c r="A11" t="str">
        <f>absorbances!E6</f>
        <v>NCHA100176_FA-1</v>
      </c>
      <c r="B11" t="str">
        <f t="shared" si="0"/>
        <v>NCHA100176</v>
      </c>
      <c r="C11" s="29">
        <f>AVERAGE(absorbances!E53:G53)</f>
        <v>0.54300000000000004</v>
      </c>
      <c r="E11" s="18">
        <f>courbe_etalon!$F$3*EXP((courbe_etalon!$G$3*quantification!C11))</f>
        <v>8.9394448260180557</v>
      </c>
      <c r="F11" s="29">
        <f>E11*poids!K11</f>
        <v>1589.0187071175767</v>
      </c>
      <c r="G11">
        <f t="shared" si="1"/>
        <v>1.5890187071175768</v>
      </c>
      <c r="I11">
        <f t="shared" si="3"/>
        <v>2.383528060676365E-2</v>
      </c>
      <c r="J11">
        <f>I11/poids!E11</f>
        <v>3.4543884937339091</v>
      </c>
      <c r="K11" s="29">
        <f t="shared" si="2"/>
        <v>3454.3884937339089</v>
      </c>
      <c r="L11" s="29" t="str">
        <f>poids!F11</f>
        <v>PLAQUE 4</v>
      </c>
    </row>
    <row r="12" spans="1:12" x14ac:dyDescent="0.25">
      <c r="A12" s="29" t="str">
        <f>absorbances!E7</f>
        <v>NCHA100177_FA-1</v>
      </c>
      <c r="B12" s="29" t="str">
        <f t="shared" si="0"/>
        <v>NCHA100177</v>
      </c>
      <c r="C12" s="29">
        <f>AVERAGE(absorbances!E54:G54)</f>
        <v>0.51033333333333331</v>
      </c>
      <c r="D12" s="29"/>
      <c r="E12" s="39">
        <f>courbe_etalon!$F$3*EXP((courbe_etalon!$G$3*quantification!C12))</f>
        <v>7.1903536286627716</v>
      </c>
      <c r="F12" s="29">
        <f>E12*poids!K12</f>
        <v>947.22407682057167</v>
      </c>
      <c r="G12" s="29">
        <f t="shared" si="1"/>
        <v>0.94722407682057164</v>
      </c>
      <c r="H12" s="29"/>
      <c r="I12" s="29">
        <f t="shared" si="3"/>
        <v>1.4208361152308575E-2</v>
      </c>
      <c r="J12" s="29">
        <f>I12/poids!E12</f>
        <v>1.4647795002379911</v>
      </c>
      <c r="K12" s="29">
        <f t="shared" si="2"/>
        <v>1464.779500237991</v>
      </c>
      <c r="L12" s="29" t="str">
        <f>poids!F12</f>
        <v>PLAQUE 4</v>
      </c>
    </row>
    <row r="13" spans="1:12" s="29" customFormat="1" x14ac:dyDescent="0.25">
      <c r="A13" s="99" t="str">
        <f>absorbances!E8</f>
        <v>NCHA100178_FA-1</v>
      </c>
      <c r="B13" s="99" t="str">
        <f t="shared" si="0"/>
        <v>NCHA100178</v>
      </c>
      <c r="C13" s="99">
        <f>AVERAGE(absorbances!E55:G55)</f>
        <v>0.159</v>
      </c>
      <c r="D13" s="99"/>
      <c r="E13" s="100">
        <f>courbe_etalon!$F$3*EXP((courbe_etalon!$G$3*quantification!C13))</f>
        <v>0.69142422621878241</v>
      </c>
      <c r="F13" s="99">
        <f>E13*poids!K13</f>
        <v>161.80682627296102</v>
      </c>
      <c r="G13" s="99">
        <f t="shared" si="1"/>
        <v>0.16180682627296103</v>
      </c>
      <c r="H13" s="99"/>
      <c r="I13" s="99">
        <f t="shared" si="3"/>
        <v>2.4271023940944155E-3</v>
      </c>
      <c r="J13" s="99">
        <f>I13/poids!E13</f>
        <v>0.47590243021458151</v>
      </c>
      <c r="K13" s="99">
        <f t="shared" si="2"/>
        <v>475.9024302145815</v>
      </c>
      <c r="L13" s="99" t="str">
        <f>poids!F13</f>
        <v>PLAQUE 4</v>
      </c>
    </row>
    <row r="14" spans="1:12" x14ac:dyDescent="0.25">
      <c r="A14" t="str">
        <f>absorbances!E9</f>
        <v>NCHA100179_FA-1</v>
      </c>
      <c r="B14" t="str">
        <f t="shared" si="0"/>
        <v>NCHA100179</v>
      </c>
      <c r="C14" s="29">
        <f>AVERAGE(absorbances!E56:G56)</f>
        <v>0.49499999999999994</v>
      </c>
      <c r="E14" s="18">
        <f>courbe_etalon!$F$3*EXP((courbe_etalon!$G$3*quantification!C14))</f>
        <v>6.4917951001770069</v>
      </c>
      <c r="F14" s="29">
        <f>E14*poids!K14</f>
        <v>886.86297578225708</v>
      </c>
      <c r="G14">
        <f t="shared" si="1"/>
        <v>0.88686297578225703</v>
      </c>
      <c r="I14">
        <f t="shared" si="3"/>
        <v>1.3302944636733855E-2</v>
      </c>
      <c r="J14">
        <f>I14/poids!E14</f>
        <v>1.4304241544875322</v>
      </c>
      <c r="K14" s="29">
        <f t="shared" si="2"/>
        <v>1430.4241544875322</v>
      </c>
      <c r="L14" s="29" t="str">
        <f>poids!F14</f>
        <v>PLAQUE 4</v>
      </c>
    </row>
    <row r="15" spans="1:12" x14ac:dyDescent="0.25">
      <c r="A15" t="str">
        <f>absorbances!E10</f>
        <v>NCHA100180_FA-1</v>
      </c>
      <c r="B15" t="str">
        <f t="shared" si="0"/>
        <v>NCHA100180</v>
      </c>
      <c r="C15" s="29">
        <f>AVERAGE(absorbances!E57:G57)</f>
        <v>0.49899999999999994</v>
      </c>
      <c r="E15" s="18">
        <f>courbe_etalon!$F$3*EXP((courbe_etalon!$G$3*quantification!C15))</f>
        <v>6.6672020373173178</v>
      </c>
      <c r="F15" s="29">
        <f>E15*poids!K15</f>
        <v>2052.2115744689754</v>
      </c>
      <c r="G15">
        <f t="shared" si="1"/>
        <v>2.0522115744689753</v>
      </c>
      <c r="I15">
        <f t="shared" si="3"/>
        <v>3.0783173617034629E-2</v>
      </c>
      <c r="J15">
        <f>I15/poids!E15</f>
        <v>8.1008351623774786</v>
      </c>
      <c r="K15" s="29">
        <f t="shared" si="2"/>
        <v>8100.8351623774788</v>
      </c>
      <c r="L15" s="29" t="str">
        <f>poids!F15</f>
        <v>PLAQUE 4</v>
      </c>
    </row>
    <row r="16" spans="1:12" x14ac:dyDescent="0.25">
      <c r="A16" t="str">
        <f>absorbances!E11</f>
        <v>NCHA100181_FA-1</v>
      </c>
      <c r="B16" t="str">
        <f t="shared" si="0"/>
        <v>NCHA100181</v>
      </c>
      <c r="C16" s="29">
        <f>AVERAGE(absorbances!E58:G58)</f>
        <v>0.624</v>
      </c>
      <c r="E16" s="18">
        <f>courbe_etalon!$F$3*EXP((courbe_etalon!$G$3*quantification!C16))</f>
        <v>15.338450605102013</v>
      </c>
      <c r="F16" s="29">
        <f>E16*poids!K16</f>
        <v>3190.2214218312606</v>
      </c>
      <c r="G16">
        <f t="shared" si="1"/>
        <v>3.1902214218312608</v>
      </c>
      <c r="I16">
        <f t="shared" si="3"/>
        <v>4.785332132746891E-2</v>
      </c>
      <c r="J16">
        <f>I16/poids!E16</f>
        <v>8.2505726426670147</v>
      </c>
      <c r="K16" s="29">
        <f t="shared" si="2"/>
        <v>8250.5726426670153</v>
      </c>
      <c r="L16" s="29" t="str">
        <f>poids!F16</f>
        <v>PLAQUE 4</v>
      </c>
    </row>
    <row r="17" spans="1:12" x14ac:dyDescent="0.25">
      <c r="A17" t="str">
        <f>absorbances!E12</f>
        <v>NCHA100182_FA-1</v>
      </c>
      <c r="B17" t="str">
        <f t="shared" si="0"/>
        <v>NCHA100182</v>
      </c>
      <c r="C17" s="29">
        <f>AVERAGE(absorbances!E59:G59)</f>
        <v>0.69666666666666666</v>
      </c>
      <c r="E17" s="18">
        <f>courbe_etalon!$F$3*EXP((courbe_etalon!$G$3*quantification!C17))</f>
        <v>24.896019234570137</v>
      </c>
      <c r="F17" s="29">
        <f>E17*poids!K17</f>
        <v>2777.2423716756284</v>
      </c>
      <c r="G17">
        <f t="shared" si="1"/>
        <v>2.7772423716756283</v>
      </c>
      <c r="I17">
        <f t="shared" si="3"/>
        <v>4.1658635575134426E-2</v>
      </c>
      <c r="J17">
        <f>I17/poids!E17</f>
        <v>3.5303928453503652</v>
      </c>
      <c r="K17" s="29">
        <f t="shared" si="2"/>
        <v>3530.3928453503654</v>
      </c>
      <c r="L17" s="29" t="str">
        <f>poids!F17</f>
        <v>PLAQUE 4</v>
      </c>
    </row>
    <row r="18" spans="1:12" s="29" customFormat="1" x14ac:dyDescent="0.25">
      <c r="A18" s="29" t="str">
        <f>absorbances!H5</f>
        <v>NCHA100183_FA-1</v>
      </c>
      <c r="B18" s="29" t="str">
        <f t="shared" si="0"/>
        <v>NCHA100183</v>
      </c>
      <c r="C18" s="29">
        <f>AVERAGE(absorbances!H52:J52)</f>
        <v>0.59766666666666657</v>
      </c>
      <c r="E18" s="39">
        <f>courbe_etalon!$F$3*EXP((courbe_etalon!$G$3*quantification!C18))</f>
        <v>12.869281860966563</v>
      </c>
      <c r="F18" s="29">
        <f>E18*poids!K18</f>
        <v>2906.9198618654559</v>
      </c>
      <c r="G18" s="29">
        <f t="shared" si="1"/>
        <v>2.9069198618654557</v>
      </c>
      <c r="I18" s="29">
        <f t="shared" si="3"/>
        <v>4.3603797927981837E-2</v>
      </c>
      <c r="J18" s="29">
        <f>I18/poids!E18</f>
        <v>8.2271316845247462</v>
      </c>
      <c r="K18" s="29">
        <f t="shared" si="2"/>
        <v>8227.1316845247457</v>
      </c>
      <c r="L18" s="29" t="str">
        <f>poids!F18</f>
        <v>PLAQUE 4</v>
      </c>
    </row>
    <row r="19" spans="1:12" s="29" customFormat="1" x14ac:dyDescent="0.25">
      <c r="A19" s="29" t="str">
        <f>absorbances!H6</f>
        <v>NCHA100184_FA-1</v>
      </c>
      <c r="B19" s="29" t="str">
        <f t="shared" si="0"/>
        <v>NCHA100184</v>
      </c>
      <c r="C19" s="29">
        <f>AVERAGE(absorbances!H53:J53)</f>
        <v>0.54500000000000004</v>
      </c>
      <c r="E19" s="39">
        <f>courbe_etalon!$F$3*EXP((courbe_etalon!$G$3*quantification!C19))</f>
        <v>9.0594108220288359</v>
      </c>
      <c r="F19" s="29">
        <f>E19*poids!K19</f>
        <v>921.04010023960507</v>
      </c>
      <c r="G19" s="29">
        <f t="shared" si="1"/>
        <v>0.92104010023960503</v>
      </c>
      <c r="I19" s="29">
        <f t="shared" si="3"/>
        <v>1.3815601503594076E-2</v>
      </c>
      <c r="J19" s="29">
        <f>I19/poids!E19</f>
        <v>1.0466364775450154</v>
      </c>
      <c r="K19" s="29">
        <f t="shared" si="2"/>
        <v>1046.6364775450154</v>
      </c>
      <c r="L19" s="29" t="str">
        <f>poids!F19</f>
        <v>PLAQUE 4</v>
      </c>
    </row>
    <row r="20" spans="1:12" x14ac:dyDescent="0.25">
      <c r="A20" t="str">
        <f>absorbances!H7</f>
        <v>NCHA100185_FA-1</v>
      </c>
      <c r="B20" t="str">
        <f t="shared" si="0"/>
        <v>NCHA100185</v>
      </c>
      <c r="C20" s="29">
        <f>AVERAGE(absorbances!H54:J54)</f>
        <v>0.52433333333333332</v>
      </c>
      <c r="E20" s="18">
        <f>courbe_etalon!$F$3*EXP((courbe_etalon!$G$3*quantification!C20))</f>
        <v>7.8936177556075666</v>
      </c>
      <c r="F20" s="29">
        <f>E20*poids!K20</f>
        <v>1166.2433291863395</v>
      </c>
      <c r="G20">
        <f t="shared" si="1"/>
        <v>1.1662433291863394</v>
      </c>
      <c r="I20">
        <f t="shared" si="3"/>
        <v>1.7493649937795092E-2</v>
      </c>
      <c r="J20">
        <f>I20/poids!E20</f>
        <v>2.0580764632700226</v>
      </c>
      <c r="K20" s="29">
        <f t="shared" si="2"/>
        <v>2058.0764632700225</v>
      </c>
      <c r="L20" s="29" t="str">
        <f>poids!F20</f>
        <v>PLAQUE 4</v>
      </c>
    </row>
    <row r="21" spans="1:12" x14ac:dyDescent="0.25">
      <c r="A21" t="str">
        <f>absorbances!H8</f>
        <v>NCHA100186_FA-1</v>
      </c>
      <c r="B21" t="str">
        <f t="shared" si="0"/>
        <v>NCHA100186</v>
      </c>
      <c r="C21" s="29">
        <f>AVERAGE(absorbances!H55:J55)</f>
        <v>0.55166666666666664</v>
      </c>
      <c r="E21" s="18">
        <f>courbe_etalon!$F$3*EXP((courbe_etalon!$G$3*quantification!C21))</f>
        <v>9.4710466196776295</v>
      </c>
      <c r="F21" s="29">
        <f>E21*poids!K21</f>
        <v>4703.2668467138865</v>
      </c>
      <c r="G21">
        <f t="shared" si="1"/>
        <v>4.7032668467138867</v>
      </c>
      <c r="I21">
        <f t="shared" si="3"/>
        <v>7.0549002700708296E-2</v>
      </c>
      <c r="J21">
        <f>I21/poids!E21</f>
        <v>30.673479435090982</v>
      </c>
      <c r="K21" s="29">
        <f t="shared" si="2"/>
        <v>30673.479435090983</v>
      </c>
      <c r="L21" s="29" t="str">
        <f>poids!F21</f>
        <v>PLAQUE 4</v>
      </c>
    </row>
    <row r="22" spans="1:12" x14ac:dyDescent="0.25">
      <c r="A22" t="str">
        <f>absorbances!H9</f>
        <v>NCHA100187_FA-1</v>
      </c>
      <c r="B22" t="str">
        <f t="shared" si="0"/>
        <v>NCHA100187</v>
      </c>
      <c r="C22" s="29">
        <f>AVERAGE(absorbances!H56:J56)</f>
        <v>0.50700000000000001</v>
      </c>
      <c r="E22" s="18">
        <f>courbe_etalon!$F$3*EXP((courbe_etalon!$G$3*quantification!C22))</f>
        <v>7.0323623463292186</v>
      </c>
      <c r="F22" s="29">
        <f>E22*poids!K22</f>
        <v>1250.0278866337526</v>
      </c>
      <c r="G22">
        <f t="shared" si="1"/>
        <v>1.2500278866337526</v>
      </c>
      <c r="I22">
        <f t="shared" si="3"/>
        <v>1.8750418299506289E-2</v>
      </c>
      <c r="J22">
        <f>I22/poids!E22</f>
        <v>2.7174519274647166</v>
      </c>
      <c r="K22" s="29">
        <f t="shared" si="2"/>
        <v>2717.4519274647168</v>
      </c>
      <c r="L22" s="29" t="str">
        <f>poids!F22</f>
        <v>PLAQUE 4</v>
      </c>
    </row>
    <row r="23" spans="1:12" x14ac:dyDescent="0.25">
      <c r="A23" t="str">
        <f>absorbances!H10</f>
        <v>NCHA100188_FA-1</v>
      </c>
      <c r="B23" t="str">
        <f t="shared" si="0"/>
        <v>NCHA100188</v>
      </c>
      <c r="C23" s="29">
        <f>AVERAGE(absorbances!H57:J57)</f>
        <v>0.59866666666666657</v>
      </c>
      <c r="E23" s="18">
        <f>courbe_etalon!$F$3*EXP((courbe_etalon!$G$3*quantification!C23))</f>
        <v>12.955345988343453</v>
      </c>
      <c r="F23" s="29">
        <f>E23*poids!K23</f>
        <v>1856.9329249959098</v>
      </c>
      <c r="G23">
        <f t="shared" si="1"/>
        <v>1.8569329249959099</v>
      </c>
      <c r="I23">
        <f t="shared" si="3"/>
        <v>2.785399387493865E-2</v>
      </c>
      <c r="J23">
        <f>I23/poids!E23</f>
        <v>3.1652265766976031</v>
      </c>
      <c r="K23" s="29">
        <f t="shared" si="2"/>
        <v>3165.2265766976029</v>
      </c>
      <c r="L23" s="29" t="str">
        <f>poids!F23</f>
        <v>PLAQUE 4</v>
      </c>
    </row>
    <row r="24" spans="1:12" x14ac:dyDescent="0.25">
      <c r="A24" t="str">
        <f>absorbances!H11</f>
        <v>NCHA100189_FA-1</v>
      </c>
      <c r="B24" t="str">
        <f t="shared" si="0"/>
        <v>NCHA100189</v>
      </c>
      <c r="C24" s="29">
        <f>AVERAGE(absorbances!H58:J58)</f>
        <v>0.65066666666666662</v>
      </c>
      <c r="E24" s="18">
        <f>courbe_etalon!$F$3*EXP((courbe_etalon!$G$3*quantification!C24))</f>
        <v>18.322029260247717</v>
      </c>
      <c r="F24" s="29">
        <f>E24*poids!K24</f>
        <v>2679.4192402680251</v>
      </c>
      <c r="G24">
        <f t="shared" si="1"/>
        <v>2.6794192402680252</v>
      </c>
      <c r="I24">
        <f t="shared" si="3"/>
        <v>4.0191288604020381E-2</v>
      </c>
      <c r="J24">
        <f>I24/poids!E24</f>
        <v>4.6734056516303086</v>
      </c>
      <c r="K24" s="29">
        <f t="shared" si="2"/>
        <v>4673.405651630309</v>
      </c>
      <c r="L24" s="29" t="str">
        <f>poids!F24</f>
        <v>PLAQUE 4</v>
      </c>
    </row>
    <row r="25" spans="1:12" x14ac:dyDescent="0.25">
      <c r="A25" s="49" t="str">
        <f>absorbances!H12</f>
        <v>NCHA100190_FA-1</v>
      </c>
      <c r="B25" s="49" t="str">
        <f t="shared" si="0"/>
        <v>NCHA100190</v>
      </c>
      <c r="C25" s="52">
        <f>AVERAGE(absorbances!H59:J59)</f>
        <v>0.67399999999999993</v>
      </c>
      <c r="D25" s="49"/>
      <c r="E25" s="53">
        <f>courbe_etalon!$F$3*EXP((courbe_etalon!$G$3*quantification!C25))</f>
        <v>21.405069516323287</v>
      </c>
      <c r="F25" s="52">
        <f>E25*poids!K25</f>
        <v>2592.9474396954379</v>
      </c>
      <c r="G25" s="49">
        <f t="shared" si="1"/>
        <v>2.592947439695438</v>
      </c>
      <c r="H25" s="49"/>
      <c r="I25" s="49">
        <f t="shared" si="3"/>
        <v>3.889421159543157E-2</v>
      </c>
      <c r="J25" s="49">
        <f>I25/poids!E25</f>
        <v>3.6349730463020391</v>
      </c>
      <c r="K25" s="52">
        <f t="shared" si="2"/>
        <v>3634.9730463020392</v>
      </c>
      <c r="L25" s="29" t="str">
        <f>poids!F25</f>
        <v>PLAQUE 4</v>
      </c>
    </row>
    <row r="26" spans="1:12" x14ac:dyDescent="0.25">
      <c r="A26" s="51" t="str">
        <f>absorbances!P5</f>
        <v>NCHA100239_FA-1</v>
      </c>
      <c r="B26" s="51" t="str">
        <f t="shared" si="0"/>
        <v>NCHA100239</v>
      </c>
      <c r="C26">
        <f>AVERAGE(absorbances!P52,absorbances!Q52,absorbances!R52)</f>
        <v>0.58150000000000002</v>
      </c>
      <c r="E26" s="56">
        <f>courbe_etalon!$F$16*EXP((courbe_etalon!$G$16*quantification!C26))</f>
        <v>9.2419029145216687</v>
      </c>
      <c r="F26" s="29">
        <f>E26*poids!K26</f>
        <v>1581.3922764848003</v>
      </c>
      <c r="G26" s="51">
        <f t="shared" si="1"/>
        <v>1.5813922764848003</v>
      </c>
      <c r="I26" s="51">
        <f t="shared" si="3"/>
        <v>2.3720884147272005E-2</v>
      </c>
      <c r="J26" s="51">
        <f>I26/poids!E26</f>
        <v>3.2945672426766239</v>
      </c>
      <c r="K26" s="29">
        <f t="shared" si="2"/>
        <v>3294.5672426766241</v>
      </c>
      <c r="L26" s="57" t="str">
        <f>poids!F26</f>
        <v>PLAQUE 7</v>
      </c>
    </row>
    <row r="27" spans="1:12" x14ac:dyDescent="0.25">
      <c r="A27" s="51" t="str">
        <f>absorbances!P6</f>
        <v>NCHA100240_FA-1</v>
      </c>
      <c r="B27" s="51" t="str">
        <f t="shared" si="0"/>
        <v>NCHA100240</v>
      </c>
      <c r="C27">
        <f>AVERAGE(absorbances!P53,absorbances!Q53,absorbances!R53)</f>
        <v>0.57550000000000001</v>
      </c>
      <c r="E27" s="56">
        <f>courbe_etalon!$F$16*EXP((courbe_etalon!$G$16*quantification!C27))</f>
        <v>8.8528744914780297</v>
      </c>
      <c r="F27" s="29">
        <f>E27*poids!K27</f>
        <v>894.49532612514986</v>
      </c>
      <c r="G27" s="51">
        <f t="shared" si="1"/>
        <v>0.89449532612514981</v>
      </c>
      <c r="I27" s="51">
        <f t="shared" si="3"/>
        <v>1.3417429891877247E-2</v>
      </c>
      <c r="J27" s="51">
        <f>I27/poids!E27</f>
        <v>1.0088293151787335</v>
      </c>
      <c r="K27" s="29">
        <f t="shared" si="2"/>
        <v>1008.8293151787335</v>
      </c>
      <c r="L27" s="51" t="str">
        <f>poids!F27</f>
        <v>PLAQUE 7</v>
      </c>
    </row>
    <row r="28" spans="1:12" x14ac:dyDescent="0.25">
      <c r="A28" s="51" t="str">
        <f>absorbances!P7</f>
        <v>NCHA100241_FA-1</v>
      </c>
      <c r="B28" s="51" t="str">
        <f t="shared" si="0"/>
        <v>NCHA100241</v>
      </c>
      <c r="C28">
        <f>AVERAGE(absorbances!P54,absorbances!Q54,absorbances!R54)</f>
        <v>0.58483333333333332</v>
      </c>
      <c r="E28" s="56">
        <f>courbe_etalon!$F$16*EXP((courbe_etalon!$G$16*quantification!C28))</f>
        <v>9.4653693591348524</v>
      </c>
      <c r="F28" s="29">
        <f>E28*poids!K28</f>
        <v>1458.9523018369855</v>
      </c>
      <c r="G28" s="51">
        <f t="shared" si="1"/>
        <v>1.4589523018369854</v>
      </c>
      <c r="I28" s="51">
        <f t="shared" si="3"/>
        <v>2.1884284527554781E-2</v>
      </c>
      <c r="J28" s="51">
        <f>I28/poids!E28</f>
        <v>2.7017635219202707</v>
      </c>
      <c r="K28" s="29">
        <f t="shared" si="2"/>
        <v>2701.7635219202707</v>
      </c>
      <c r="L28" s="51" t="str">
        <f>poids!F28</f>
        <v>PLAQUE 7</v>
      </c>
    </row>
    <row r="29" spans="1:12" x14ac:dyDescent="0.25">
      <c r="A29" s="51" t="str">
        <f>absorbances!P8</f>
        <v>NCHA100242_FA-1</v>
      </c>
      <c r="B29" s="51" t="str">
        <f t="shared" si="0"/>
        <v>NCHA100242</v>
      </c>
      <c r="C29">
        <f>AVERAGE(absorbances!P55,absorbances!Q55,absorbances!R55)</f>
        <v>0.61916666666666664</v>
      </c>
      <c r="E29" s="56">
        <f>courbe_etalon!$F$16*EXP((courbe_etalon!$G$16*quantification!C29))</f>
        <v>12.10631730375928</v>
      </c>
      <c r="F29" s="29">
        <f>E29*poids!K29</f>
        <v>1527.5323892096283</v>
      </c>
      <c r="G29" s="51">
        <f t="shared" si="1"/>
        <v>1.5275323892096282</v>
      </c>
      <c r="I29" s="51">
        <f t="shared" si="3"/>
        <v>2.2912985838144422E-2</v>
      </c>
      <c r="J29" s="51">
        <f>I29/poids!E29</f>
        <v>2.2463711606023971</v>
      </c>
      <c r="K29" s="29">
        <f t="shared" si="2"/>
        <v>2246.3711606023971</v>
      </c>
      <c r="L29" s="51" t="str">
        <f>poids!F29</f>
        <v>PLAQUE 7</v>
      </c>
    </row>
    <row r="30" spans="1:12" x14ac:dyDescent="0.25">
      <c r="A30" s="51" t="str">
        <f>absorbances!P9</f>
        <v>NCHA100243_FA-1</v>
      </c>
      <c r="B30" s="51" t="str">
        <f t="shared" si="0"/>
        <v>NCHA100243</v>
      </c>
      <c r="C30">
        <f>AVERAGE(absorbances!P56,absorbances!Q56,absorbances!R56)</f>
        <v>0.52083333333333337</v>
      </c>
      <c r="E30" s="56">
        <f>courbe_etalon!$F$16*EXP((courbe_etalon!$G$16*quantification!C30))</f>
        <v>5.9829479072770928</v>
      </c>
      <c r="F30" s="29">
        <f>E30*poids!K30</f>
        <v>2045.3469953604024</v>
      </c>
      <c r="G30" s="51">
        <f t="shared" si="1"/>
        <v>2.0453469953604024</v>
      </c>
      <c r="I30" s="51">
        <f t="shared" si="3"/>
        <v>3.0680204930406036E-2</v>
      </c>
      <c r="J30" s="51">
        <f>I30/poids!E30</f>
        <v>9.0235896854139437</v>
      </c>
      <c r="K30" s="29">
        <f t="shared" si="2"/>
        <v>9023.5896854139428</v>
      </c>
      <c r="L30" s="51" t="str">
        <f>poids!F30</f>
        <v>PLAQUE 7</v>
      </c>
    </row>
    <row r="31" spans="1:12" x14ac:dyDescent="0.25">
      <c r="A31" s="51" t="str">
        <f>absorbances!P10</f>
        <v>NCHA100244_FA-1</v>
      </c>
      <c r="B31" s="51" t="str">
        <f t="shared" si="0"/>
        <v>NCHA100244</v>
      </c>
      <c r="C31">
        <f>AVERAGE(absorbances!P57,absorbances!Q57,absorbances!R57)</f>
        <v>0.68916666666666659</v>
      </c>
      <c r="E31" s="56">
        <f>courbe_etalon!$F$16*EXP((courbe_etalon!$G$16*quantification!C31))</f>
        <v>19.994543425016218</v>
      </c>
      <c r="F31" s="29">
        <f>E31*poids!K31</f>
        <v>3222.9299758895045</v>
      </c>
      <c r="G31" s="51">
        <f t="shared" si="1"/>
        <v>3.2229299758895045</v>
      </c>
      <c r="I31" s="51">
        <f t="shared" si="3"/>
        <v>4.8343949638342563E-2</v>
      </c>
      <c r="J31" s="51">
        <f>I31/poids!E31</f>
        <v>6.278435017966534</v>
      </c>
      <c r="K31" s="29">
        <f t="shared" si="2"/>
        <v>6278.4350179665344</v>
      </c>
      <c r="L31" s="51" t="str">
        <f>poids!F31</f>
        <v>PLAQUE 7</v>
      </c>
    </row>
    <row r="32" spans="1:12" x14ac:dyDescent="0.25">
      <c r="A32" s="51" t="str">
        <f>absorbances!P11</f>
        <v>NCHA100245_FA-1</v>
      </c>
      <c r="B32" s="51" t="str">
        <f t="shared" si="0"/>
        <v>NCHA100245</v>
      </c>
      <c r="C32">
        <f>AVERAGE(absorbances!P58,absorbances!Q58,absorbances!R58)</f>
        <v>0.6871666666666667</v>
      </c>
      <c r="E32" s="56">
        <f>courbe_etalon!$F$16*EXP((courbe_etalon!$G$16*quantification!C32))</f>
        <v>19.709962283288338</v>
      </c>
      <c r="F32" s="29">
        <f>E32*poids!K32</f>
        <v>2743.8722218914486</v>
      </c>
      <c r="G32" s="51">
        <f t="shared" si="1"/>
        <v>2.7438722218914484</v>
      </c>
      <c r="I32" s="51">
        <f t="shared" si="3"/>
        <v>4.1158083328371724E-2</v>
      </c>
      <c r="J32" s="51">
        <f>I32/poids!E32</f>
        <v>4.5228662998210147</v>
      </c>
      <c r="K32" s="29">
        <f t="shared" si="2"/>
        <v>4522.8662998210148</v>
      </c>
      <c r="L32" s="51" t="str">
        <f>poids!F32</f>
        <v>PLAQUE 7</v>
      </c>
    </row>
    <row r="33" spans="1:12" x14ac:dyDescent="0.25">
      <c r="A33" s="51" t="str">
        <f>absorbances!P12</f>
        <v>NCHA100246_FA-1</v>
      </c>
      <c r="B33" s="51" t="str">
        <f t="shared" si="0"/>
        <v>NCHA100246</v>
      </c>
      <c r="C33">
        <f>AVERAGE(absorbances!P59,absorbances!Q59,absorbances!R59)</f>
        <v>0.66783333333333328</v>
      </c>
      <c r="E33" s="56">
        <f>courbe_etalon!$F$16*EXP((courbe_etalon!$G$16*quantification!C33))</f>
        <v>17.159476859985347</v>
      </c>
      <c r="F33" s="29">
        <f>E33*poids!K33</f>
        <v>2674.0184773477145</v>
      </c>
      <c r="G33" s="51">
        <f t="shared" si="1"/>
        <v>2.6740184773477145</v>
      </c>
      <c r="I33" s="51">
        <f t="shared" si="3"/>
        <v>4.0110277160215715E-2</v>
      </c>
      <c r="J33" s="51">
        <f>I33/poids!E33</f>
        <v>5.0137846450269601</v>
      </c>
      <c r="K33" s="29">
        <f t="shared" si="2"/>
        <v>5013.7846450269599</v>
      </c>
      <c r="L33" s="51" t="str">
        <f>poids!F33</f>
        <v>PLAQUE 7</v>
      </c>
    </row>
    <row r="34" spans="1:12" x14ac:dyDescent="0.25">
      <c r="A34" s="54" t="str">
        <f>absorbances!S5</f>
        <v>NCHA100247_FA-1</v>
      </c>
      <c r="B34" s="51" t="str">
        <f t="shared" si="0"/>
        <v>NCHA100247</v>
      </c>
      <c r="C34">
        <f>AVERAGE(absorbances!S52,absorbances!T52,absorbances!U52)</f>
        <v>0.65949999999999998</v>
      </c>
      <c r="E34" s="56">
        <f>courbe_etalon!$F$16*EXP((courbe_etalon!$G$16*quantification!C34))</f>
        <v>16.164550561100462</v>
      </c>
      <c r="F34" s="29">
        <f>E34*poids!K34</f>
        <v>1912.8051497302031</v>
      </c>
      <c r="G34" s="51">
        <f t="shared" si="1"/>
        <v>1.912805149730203</v>
      </c>
      <c r="I34" s="51">
        <f t="shared" si="3"/>
        <v>2.8692077245953043E-2</v>
      </c>
      <c r="J34" s="51">
        <f>I34/poids!E34</f>
        <v>2.6083706587229751</v>
      </c>
      <c r="K34" s="29">
        <f t="shared" si="2"/>
        <v>2608.3706587229753</v>
      </c>
      <c r="L34" s="51" t="str">
        <f>poids!F34</f>
        <v>PLAQUE 7</v>
      </c>
    </row>
    <row r="35" spans="1:12" x14ac:dyDescent="0.25">
      <c r="A35" s="54" t="str">
        <f>absorbances!S6</f>
        <v>NCHA100248_FA-1</v>
      </c>
      <c r="B35" s="51" t="str">
        <f t="shared" si="0"/>
        <v>NCHA100248</v>
      </c>
      <c r="C35">
        <f>AVERAGE(absorbances!S53,absorbances!T53,absorbances!U53)</f>
        <v>0.46783333333333338</v>
      </c>
      <c r="E35" s="56">
        <f>courbe_etalon!$F$16*EXP((courbe_etalon!$G$16*quantification!C35))</f>
        <v>4.0919867398582008</v>
      </c>
      <c r="F35" s="29">
        <f>E35*poids!K35</f>
        <v>564.27904101087574</v>
      </c>
      <c r="G35" s="51">
        <f t="shared" si="1"/>
        <v>0.56427904101087578</v>
      </c>
      <c r="I35" s="51">
        <f t="shared" si="3"/>
        <v>8.4641856151631365E-3</v>
      </c>
      <c r="J35" s="51">
        <f>I35/poids!E35</f>
        <v>0.92002017556120075</v>
      </c>
      <c r="K35" s="29">
        <f t="shared" si="2"/>
        <v>920.02017556120074</v>
      </c>
      <c r="L35" s="51" t="str">
        <f>poids!F35</f>
        <v>PLAQUE 7</v>
      </c>
    </row>
    <row r="36" spans="1:12" x14ac:dyDescent="0.25">
      <c r="A36" s="54" t="str">
        <f>absorbances!S7</f>
        <v>NCHA100249_FA-1</v>
      </c>
      <c r="B36" s="51" t="str">
        <f t="shared" si="0"/>
        <v>NCHA100249</v>
      </c>
      <c r="C36">
        <f>AVERAGE(absorbances!S54,absorbances!T54,absorbances!U54)</f>
        <v>0.33316666666666667</v>
      </c>
      <c r="E36" s="56">
        <f>courbe_etalon!$F$16*EXP((courbe_etalon!$G$16*quantification!C36))</f>
        <v>1.558609079109823</v>
      </c>
      <c r="F36" s="29">
        <f>E36*poids!K36</f>
        <v>146.00395094948911</v>
      </c>
      <c r="G36" s="51">
        <f t="shared" si="1"/>
        <v>0.14600395094948912</v>
      </c>
      <c r="I36" s="51">
        <f t="shared" si="3"/>
        <v>2.1900592642423366E-3</v>
      </c>
      <c r="J36" s="51">
        <f>I36/poids!E36</f>
        <v>0.15000405919468116</v>
      </c>
      <c r="K36" s="29">
        <f t="shared" si="2"/>
        <v>150.00405919468116</v>
      </c>
      <c r="L36" s="51" t="str">
        <f>poids!F36</f>
        <v>PLAQUE 7</v>
      </c>
    </row>
    <row r="37" spans="1:12" x14ac:dyDescent="0.25">
      <c r="A37" s="54" t="str">
        <f>absorbances!S8</f>
        <v>NCHA100250_FA-1</v>
      </c>
      <c r="B37" s="51" t="str">
        <f t="shared" si="0"/>
        <v>NCHA100250</v>
      </c>
      <c r="C37">
        <f>AVERAGE(absorbances!S55,absorbances!T55,absorbances!U55)</f>
        <v>0.51250000000000007</v>
      </c>
      <c r="E37" s="56">
        <f>courbe_etalon!$F$16*EXP((courbe_etalon!$G$16*quantification!C37))</f>
        <v>5.6360496733519536</v>
      </c>
      <c r="F37" s="29">
        <f>E37*poids!K37</f>
        <v>1119.6644036869423</v>
      </c>
      <c r="G37" s="51">
        <f t="shared" si="1"/>
        <v>1.1196644036869423</v>
      </c>
      <c r="I37" s="51">
        <f t="shared" si="3"/>
        <v>1.6794966055304134E-2</v>
      </c>
      <c r="J37" s="51">
        <f>I37/poids!E37</f>
        <v>2.7532731238203523</v>
      </c>
      <c r="K37" s="29">
        <f t="shared" si="2"/>
        <v>2753.2731238203523</v>
      </c>
      <c r="L37" s="51" t="str">
        <f>poids!F37</f>
        <v>PLAQUE 7</v>
      </c>
    </row>
    <row r="38" spans="1:12" x14ac:dyDescent="0.25">
      <c r="A38" s="54" t="str">
        <f>absorbances!S9</f>
        <v>NCHA100251_FA-1</v>
      </c>
      <c r="B38" s="51" t="str">
        <f t="shared" si="0"/>
        <v>NCHA100251</v>
      </c>
      <c r="C38">
        <f>AVERAGE(absorbances!S56,absorbances!T56,absorbances!U56)</f>
        <v>0.54016666666666657</v>
      </c>
      <c r="E38" s="56">
        <f>courbe_etalon!$F$16*EXP((courbe_etalon!$G$16*quantification!C38))</f>
        <v>6.8722186904368723</v>
      </c>
      <c r="F38" s="29">
        <f>E38*poids!K38</f>
        <v>839.14544575364835</v>
      </c>
      <c r="G38" s="51">
        <f t="shared" si="1"/>
        <v>0.83914544575364836</v>
      </c>
      <c r="I38" s="51">
        <f t="shared" si="3"/>
        <v>1.2587181686304726E-2</v>
      </c>
      <c r="J38" s="51">
        <f>I38/poids!E38</f>
        <v>1.1874699704060878</v>
      </c>
      <c r="K38" s="29">
        <f t="shared" si="2"/>
        <v>1187.4699704060879</v>
      </c>
      <c r="L38" s="51" t="str">
        <f>poids!F38</f>
        <v>PLAQUE 7</v>
      </c>
    </row>
    <row r="39" spans="1:12" x14ac:dyDescent="0.25">
      <c r="A39" s="54" t="str">
        <f>absorbances!S10</f>
        <v>NCHA100252_FA-1</v>
      </c>
      <c r="B39" s="51" t="str">
        <f t="shared" si="0"/>
        <v>NCHA100252</v>
      </c>
      <c r="C39">
        <f>AVERAGE(absorbances!S57,absorbances!T57,absorbances!U57)</f>
        <v>0.59250000000000003</v>
      </c>
      <c r="E39" s="56">
        <f>courbe_etalon!$F$16*EXP((courbe_etalon!$G$16*quantification!C39))</f>
        <v>10.000063146061594</v>
      </c>
      <c r="F39" s="29">
        <f>E39*poids!K39</f>
        <v>1317.3622704614083</v>
      </c>
      <c r="G39" s="51">
        <f t="shared" si="1"/>
        <v>1.3173622704614083</v>
      </c>
      <c r="I39" s="51">
        <f t="shared" si="3"/>
        <v>1.9760434056921124E-2</v>
      </c>
      <c r="J39" s="51">
        <f>I39/poids!E39</f>
        <v>2.0371581501980454</v>
      </c>
      <c r="K39" s="29">
        <f t="shared" si="2"/>
        <v>2037.1581501980454</v>
      </c>
      <c r="L39" s="51" t="str">
        <f>poids!F39</f>
        <v>PLAQUE 7</v>
      </c>
    </row>
    <row r="40" spans="1:12" x14ac:dyDescent="0.25">
      <c r="A40" s="54" t="str">
        <f>absorbances!S11</f>
        <v>NCHA100253_FA-1</v>
      </c>
      <c r="B40" s="51" t="str">
        <f t="shared" si="0"/>
        <v>NCHA100253</v>
      </c>
      <c r="C40">
        <f>AVERAGE(absorbances!S58,absorbances!T58,absorbances!U58)</f>
        <v>0.59816666666666662</v>
      </c>
      <c r="E40" s="56">
        <f>courbe_etalon!$F$16*EXP((courbe_etalon!$G$16*quantification!C40))</f>
        <v>10.414591040842652</v>
      </c>
      <c r="F40" s="29">
        <f>E40*poids!K40</f>
        <v>2352.4530643513112</v>
      </c>
      <c r="G40" s="51">
        <f t="shared" si="1"/>
        <v>2.3524530643513111</v>
      </c>
      <c r="I40" s="51">
        <f>G40*15/1000</f>
        <v>3.5286795965269666E-2</v>
      </c>
      <c r="J40" s="51">
        <f>I40/poids!E40</f>
        <v>6.6578860311828523</v>
      </c>
      <c r="K40" s="29">
        <f t="shared" si="2"/>
        <v>6657.8860311828521</v>
      </c>
      <c r="L40" s="51" t="str">
        <f>poids!F40</f>
        <v>PLAQUE 7</v>
      </c>
    </row>
    <row r="41" spans="1:12" x14ac:dyDescent="0.25">
      <c r="A41" s="54" t="str">
        <f>absorbances!S12</f>
        <v>NCHA100254_FA-1</v>
      </c>
      <c r="B41" s="51" t="str">
        <f t="shared" si="0"/>
        <v>NCHA100254</v>
      </c>
      <c r="C41">
        <f>AVERAGE(absorbances!S59,absorbances!T59,absorbances!U59)</f>
        <v>0.70883333333333332</v>
      </c>
      <c r="E41" s="56">
        <f>courbe_etalon!$F$16*EXP((courbe_etalon!$G$16*quantification!C41))</f>
        <v>23.021353714477677</v>
      </c>
      <c r="F41" s="29">
        <f>E41*poids!K41</f>
        <v>3174.6113129457635</v>
      </c>
      <c r="G41" s="51">
        <f t="shared" si="1"/>
        <v>3.1746113129457636</v>
      </c>
      <c r="I41" s="51">
        <f t="shared" si="3"/>
        <v>4.7619169694186454E-2</v>
      </c>
      <c r="J41" s="51">
        <f>I41/poids!E41</f>
        <v>5.1759967058899026</v>
      </c>
      <c r="K41" s="29">
        <f t="shared" si="2"/>
        <v>5175.9967058899028</v>
      </c>
      <c r="L41" s="51" t="str">
        <f>poids!F41</f>
        <v>PLAQUE 7</v>
      </c>
    </row>
    <row r="42" spans="1:12" x14ac:dyDescent="0.25">
      <c r="A42" s="55" t="str">
        <f>absorbances!V5</f>
        <v>NCHA100255_FA-1</v>
      </c>
      <c r="B42" s="51" t="str">
        <f t="shared" si="0"/>
        <v>NCHA100255</v>
      </c>
      <c r="C42">
        <f>AVERAGE(absorbances!V52,absorbances!W52,absorbances!X52)</f>
        <v>0.46316666666666667</v>
      </c>
      <c r="E42" s="56">
        <f>courbe_etalon!$F$16*EXP((courbe_etalon!$G$16*quantification!C42))</f>
        <v>3.9573784860652088</v>
      </c>
      <c r="F42" s="29">
        <f>E42*poids!K42</f>
        <v>273.15637829699102</v>
      </c>
      <c r="G42" s="51">
        <f t="shared" si="1"/>
        <v>0.27315637829699102</v>
      </c>
      <c r="I42" s="51">
        <f t="shared" si="3"/>
        <v>4.0973456744548649E-3</v>
      </c>
      <c r="J42" s="51">
        <f>I42/poids!E42</f>
        <v>0.18881777301635469</v>
      </c>
      <c r="K42" s="29">
        <f t="shared" si="2"/>
        <v>188.81777301635469</v>
      </c>
      <c r="L42" s="51" t="str">
        <f>poids!F42</f>
        <v>PLAQUE 7</v>
      </c>
    </row>
    <row r="43" spans="1:12" x14ac:dyDescent="0.25">
      <c r="A43" t="str">
        <f>absorbances!V6</f>
        <v>NCHA100256_FA-1</v>
      </c>
      <c r="B43" s="51" t="str">
        <f t="shared" si="0"/>
        <v>NCHA100256</v>
      </c>
      <c r="C43">
        <f>AVERAGE(absorbances!V53,absorbances!W53,absorbances!X53)</f>
        <v>0.50850000000000006</v>
      </c>
      <c r="E43" s="56">
        <f>courbe_etalon!$F$16*EXP((courbe_etalon!$G$16*quantification!C43))</f>
        <v>5.4767562886642551</v>
      </c>
      <c r="F43" s="29">
        <f>E43*poids!K43</f>
        <v>1439.1698469656778</v>
      </c>
      <c r="G43" s="51">
        <f t="shared" si="1"/>
        <v>1.4391698469656777</v>
      </c>
      <c r="I43" s="51">
        <f t="shared" si="3"/>
        <v>2.1587547704485167E-2</v>
      </c>
      <c r="J43" s="51">
        <f>I43/poids!E43</f>
        <v>4.7972328232189811</v>
      </c>
      <c r="K43" s="29">
        <f t="shared" si="2"/>
        <v>4797.2328232189811</v>
      </c>
      <c r="L43" s="51" t="str">
        <f>poids!F43</f>
        <v>PLAQUE 7</v>
      </c>
    </row>
    <row r="44" spans="1:12" x14ac:dyDescent="0.25">
      <c r="A44" t="str">
        <f>absorbances!V7</f>
        <v>NCHA100257_FA-1</v>
      </c>
      <c r="B44" s="51" t="str">
        <f t="shared" si="0"/>
        <v>NCHA100257</v>
      </c>
      <c r="C44">
        <f>AVERAGE(absorbances!V54,absorbances!W54,absorbances!X54)</f>
        <v>0.58350000000000002</v>
      </c>
      <c r="E44" s="56">
        <f>courbe_etalon!$F$16*EXP((courbe_etalon!$G$16*quantification!C44))</f>
        <v>9.3753415911335942</v>
      </c>
      <c r="F44" s="29">
        <f>E44*poids!K44</f>
        <v>744.81880418450169</v>
      </c>
      <c r="G44" s="51">
        <f t="shared" si="1"/>
        <v>0.74481880418450164</v>
      </c>
      <c r="I44" s="51">
        <f t="shared" si="3"/>
        <v>1.1172282062767526E-2</v>
      </c>
      <c r="J44" s="51">
        <f>I44/poids!E44</f>
        <v>0.62068233682041751</v>
      </c>
      <c r="K44" s="29">
        <f t="shared" si="2"/>
        <v>620.6823368204175</v>
      </c>
      <c r="L44" s="51" t="str">
        <f>poids!F44</f>
        <v>PLAQUE 7</v>
      </c>
    </row>
    <row r="45" spans="1:12" x14ac:dyDescent="0.25">
      <c r="A45" t="str">
        <f>absorbances!V8</f>
        <v>NCHA100258_FA-1</v>
      </c>
      <c r="B45" s="51" t="str">
        <f t="shared" si="0"/>
        <v>NCHA100258</v>
      </c>
      <c r="C45">
        <f>AVERAGE(absorbances!V55,absorbances!W55,absorbances!X55)</f>
        <v>0.61150000000000004</v>
      </c>
      <c r="E45" s="56">
        <f>courbe_etalon!$F$16*EXP((courbe_etalon!$G$16*quantification!C45))</f>
        <v>11.459004126798677</v>
      </c>
      <c r="F45" s="29">
        <f>E45*poids!K45</f>
        <v>1565.4478218384518</v>
      </c>
      <c r="G45" s="51">
        <f t="shared" si="1"/>
        <v>1.5654478218384518</v>
      </c>
      <c r="I45" s="51">
        <f t="shared" si="3"/>
        <v>2.3481717327576777E-2</v>
      </c>
      <c r="J45" s="51">
        <f>I45/poids!E45</f>
        <v>2.5249158416748991</v>
      </c>
      <c r="K45" s="29">
        <f t="shared" si="2"/>
        <v>2524.9158416748992</v>
      </c>
      <c r="L45" s="51" t="str">
        <f>poids!F45</f>
        <v>PLAQUE 7</v>
      </c>
    </row>
    <row r="46" spans="1:12" x14ac:dyDescent="0.25">
      <c r="A46" t="str">
        <f>absorbances!V9</f>
        <v>NCHA100259_FA-1</v>
      </c>
      <c r="B46" s="51" t="str">
        <f t="shared" si="0"/>
        <v>NCHA100259</v>
      </c>
      <c r="C46">
        <f>AVERAGE(absorbances!V56,absorbances!W56,absorbances!X56)</f>
        <v>0.4961666666666667</v>
      </c>
      <c r="E46" s="56">
        <f>courbe_etalon!$F$16*EXP((courbe_etalon!$G$16*quantification!C46))</f>
        <v>5.0133913766724483</v>
      </c>
      <c r="F46" s="29">
        <f>E46*poids!K46</f>
        <v>748.42771266038972</v>
      </c>
      <c r="G46" s="51">
        <f t="shared" si="1"/>
        <v>0.74842771266038977</v>
      </c>
      <c r="I46" s="51">
        <f t="shared" si="3"/>
        <v>1.1226415689905846E-2</v>
      </c>
      <c r="J46" s="51">
        <f>I46/poids!E46</f>
        <v>1.3364780583221305</v>
      </c>
      <c r="K46" s="29">
        <f t="shared" si="2"/>
        <v>1336.4780583221304</v>
      </c>
      <c r="L46" s="51" t="str">
        <f>poids!F46</f>
        <v>PLAQUE 7</v>
      </c>
    </row>
    <row r="47" spans="1:12" x14ac:dyDescent="0.25">
      <c r="A47" t="str">
        <f>absorbances!V10</f>
        <v>NCHA100260_FA-1</v>
      </c>
      <c r="B47" s="51" t="str">
        <f t="shared" si="0"/>
        <v>NCHA100260</v>
      </c>
      <c r="C47">
        <f>AVERAGE(absorbances!V57,absorbances!W57,absorbances!X57)</f>
        <v>0.54416666666666669</v>
      </c>
      <c r="E47" s="56">
        <f>courbe_etalon!$F$16*EXP((courbe_etalon!$G$16*quantification!C47))</f>
        <v>7.0720995903373449</v>
      </c>
      <c r="F47" s="29">
        <f>E47*poids!K47</f>
        <v>1034.2260369900139</v>
      </c>
      <c r="G47" s="51">
        <f t="shared" si="1"/>
        <v>1.0342260369900138</v>
      </c>
      <c r="I47" s="51">
        <f t="shared" si="3"/>
        <v>1.5513390554850208E-2</v>
      </c>
      <c r="J47" s="51">
        <f>I47/poids!E47</f>
        <v>1.8038826226569666</v>
      </c>
      <c r="K47" s="29">
        <f t="shared" si="2"/>
        <v>1803.8826226569665</v>
      </c>
      <c r="L47" s="51" t="str">
        <f>poids!F47</f>
        <v>PLAQUE 7</v>
      </c>
    </row>
    <row r="48" spans="1:12" x14ac:dyDescent="0.25">
      <c r="A48" t="str">
        <f>absorbances!V11</f>
        <v>NCHA100261_FA-1</v>
      </c>
      <c r="B48" s="51" t="str">
        <f t="shared" si="0"/>
        <v>NCHA100261</v>
      </c>
      <c r="C48">
        <f>AVERAGE(absorbances!V58,absorbances!W58,absorbances!X58)</f>
        <v>0.68483333333333329</v>
      </c>
      <c r="E48" s="56">
        <f>courbe_etalon!$F$16*EXP((courbe_etalon!$G$16*quantification!C48))</f>
        <v>19.383066180190188</v>
      </c>
      <c r="F48" s="29">
        <f>E48*poids!K48</f>
        <v>4891.8185107948775</v>
      </c>
      <c r="G48" s="51">
        <f t="shared" si="1"/>
        <v>4.8918185107948773</v>
      </c>
      <c r="I48" s="51">
        <f t="shared" si="3"/>
        <v>7.337727766192316E-2</v>
      </c>
      <c r="J48" s="51">
        <f>I48/poids!E48</f>
        <v>15.612186736579639</v>
      </c>
      <c r="K48" s="29">
        <f t="shared" si="2"/>
        <v>15612.186736579639</v>
      </c>
      <c r="L48" s="51" t="str">
        <f>poids!F48</f>
        <v>PLAQUE 7</v>
      </c>
    </row>
    <row r="49" spans="1:12" x14ac:dyDescent="0.25">
      <c r="A49" t="str">
        <f>absorbances!V12</f>
        <v>NCHA100262_FA-1</v>
      </c>
      <c r="B49" s="51" t="str">
        <f t="shared" si="0"/>
        <v>NCHA100262</v>
      </c>
      <c r="C49">
        <f>AVERAGE(absorbances!V59,absorbances!W59,absorbances!X59)</f>
        <v>0.66049999999999998</v>
      </c>
      <c r="E49" s="56">
        <f>courbe_etalon!$F$16*EXP((courbe_etalon!$G$16*quantification!C49))</f>
        <v>16.280827810301286</v>
      </c>
      <c r="F49" s="29">
        <f>E49*poids!K49</f>
        <v>2820.8636166158576</v>
      </c>
      <c r="G49" s="51">
        <f t="shared" si="1"/>
        <v>2.8208636166158576</v>
      </c>
      <c r="I49" s="51">
        <f t="shared" si="3"/>
        <v>4.2312954249237859E-2</v>
      </c>
      <c r="J49" s="51">
        <f>I49/poids!E49</f>
        <v>5.9595710210195136</v>
      </c>
      <c r="K49" s="29">
        <f t="shared" si="2"/>
        <v>5959.5710210195139</v>
      </c>
      <c r="L49" s="51" t="str">
        <f>poids!F49</f>
        <v>PLAQUE 7</v>
      </c>
    </row>
    <row r="50" spans="1:12" x14ac:dyDescent="0.25">
      <c r="L50" s="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absorbances</vt:lpstr>
      <vt:lpstr>courbe_etalon</vt:lpstr>
      <vt:lpstr>poids</vt:lpstr>
      <vt:lpstr>quantification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BLANCHET</dc:creator>
  <cp:lastModifiedBy>Julie BLANCHET</cp:lastModifiedBy>
  <dcterms:created xsi:type="dcterms:W3CDTF">2025-03-10T13:14:35Z</dcterms:created>
  <dcterms:modified xsi:type="dcterms:W3CDTF">2025-04-22T09:46:23Z</dcterms:modified>
</cp:coreProperties>
</file>