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-90" yWindow="0" windowWidth="12015" windowHeight="10170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definedNames>
    <definedName name="_xlchart.v1.0" hidden="1">quantification!$B$41:$B$64</definedName>
    <definedName name="_xlchart.v1.1" hidden="1">quantification!$C$40</definedName>
    <definedName name="_xlchart.v1.2" hidden="1">quantification!$C$41:$C$64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D41" i="2"/>
  <c r="D49" i="2"/>
  <c r="L16" i="2" l="1"/>
  <c r="L17" i="2"/>
  <c r="L18" i="2"/>
  <c r="L22" i="2"/>
  <c r="L23" i="2"/>
  <c r="L24" i="2"/>
  <c r="L25" i="2"/>
  <c r="A19" i="2"/>
  <c r="A20" i="2"/>
  <c r="A21" i="2"/>
  <c r="A22" i="2"/>
  <c r="A23" i="2"/>
  <c r="A24" i="2"/>
  <c r="A25" i="2"/>
  <c r="A18" i="2"/>
  <c r="A11" i="2"/>
  <c r="A12" i="2"/>
  <c r="A13" i="2"/>
  <c r="A14" i="2"/>
  <c r="A15" i="2"/>
  <c r="A16" i="2"/>
  <c r="A17" i="2"/>
  <c r="A10" i="2"/>
  <c r="A3" i="2"/>
  <c r="A4" i="2"/>
  <c r="A5" i="2"/>
  <c r="A6" i="2"/>
  <c r="A7" i="2"/>
  <c r="A8" i="2"/>
  <c r="A9" i="2"/>
  <c r="A2" i="2"/>
  <c r="B19" i="4"/>
  <c r="B20" i="4"/>
  <c r="B21" i="4"/>
  <c r="B22" i="4"/>
  <c r="B23" i="4"/>
  <c r="B24" i="4"/>
  <c r="B25" i="4"/>
  <c r="B18" i="4"/>
  <c r="F25" i="4"/>
  <c r="E25" i="4"/>
  <c r="H25" i="4" s="1"/>
  <c r="I25" i="4" s="1"/>
  <c r="J25" i="4" s="1"/>
  <c r="K25" i="4" s="1"/>
  <c r="F24" i="4"/>
  <c r="E24" i="4"/>
  <c r="H24" i="4" s="1"/>
  <c r="I24" i="4" s="1"/>
  <c r="J24" i="4" s="1"/>
  <c r="K24" i="4" s="1"/>
  <c r="F23" i="4"/>
  <c r="E23" i="4"/>
  <c r="H23" i="4" s="1"/>
  <c r="I23" i="4" s="1"/>
  <c r="J23" i="4" s="1"/>
  <c r="K23" i="4" s="1"/>
  <c r="F22" i="4"/>
  <c r="E22" i="4"/>
  <c r="H22" i="4" s="1"/>
  <c r="I22" i="4" s="1"/>
  <c r="J22" i="4" s="1"/>
  <c r="K22" i="4" s="1"/>
  <c r="F21" i="4"/>
  <c r="L21" i="2" s="1"/>
  <c r="E21" i="4"/>
  <c r="H21" i="4" s="1"/>
  <c r="I21" i="4" s="1"/>
  <c r="J21" i="4" s="1"/>
  <c r="K21" i="4" s="1"/>
  <c r="F20" i="4"/>
  <c r="L20" i="2" s="1"/>
  <c r="E20" i="4"/>
  <c r="H20" i="4" s="1"/>
  <c r="I20" i="4" s="1"/>
  <c r="J20" i="4" s="1"/>
  <c r="K20" i="4" s="1"/>
  <c r="H19" i="4"/>
  <c r="I19" i="4" s="1"/>
  <c r="J19" i="4" s="1"/>
  <c r="K19" i="4" s="1"/>
  <c r="F19" i="4"/>
  <c r="L19" i="2" s="1"/>
  <c r="E19" i="4"/>
  <c r="A19" i="4"/>
  <c r="A20" i="4" s="1"/>
  <c r="A21" i="4" s="1"/>
  <c r="A22" i="4" s="1"/>
  <c r="A23" i="4" s="1"/>
  <c r="A24" i="4" s="1"/>
  <c r="A25" i="4" s="1"/>
  <c r="F18" i="4"/>
  <c r="E18" i="4"/>
  <c r="H18" i="4" s="1"/>
  <c r="I18" i="4" s="1"/>
  <c r="J18" i="4" s="1"/>
  <c r="K18" i="4" s="1"/>
  <c r="B11" i="4"/>
  <c r="B12" i="4"/>
  <c r="B13" i="4"/>
  <c r="B14" i="4"/>
  <c r="B15" i="4"/>
  <c r="B16" i="4"/>
  <c r="B17" i="4"/>
  <c r="B10" i="4"/>
  <c r="F17" i="4"/>
  <c r="E17" i="4"/>
  <c r="H17" i="4" s="1"/>
  <c r="I17" i="4" s="1"/>
  <c r="J17" i="4" s="1"/>
  <c r="K17" i="4" s="1"/>
  <c r="F16" i="4"/>
  <c r="E16" i="4"/>
  <c r="H16" i="4" s="1"/>
  <c r="I16" i="4" s="1"/>
  <c r="J16" i="4" s="1"/>
  <c r="K16" i="4" s="1"/>
  <c r="F15" i="4"/>
  <c r="L15" i="2" s="1"/>
  <c r="E15" i="4"/>
  <c r="H15" i="4" s="1"/>
  <c r="I15" i="4" s="1"/>
  <c r="J15" i="4" s="1"/>
  <c r="K15" i="4" s="1"/>
  <c r="F14" i="4"/>
  <c r="L14" i="2" s="1"/>
  <c r="E14" i="4"/>
  <c r="H14" i="4" s="1"/>
  <c r="I14" i="4" s="1"/>
  <c r="J14" i="4" s="1"/>
  <c r="K14" i="4" s="1"/>
  <c r="F13" i="4"/>
  <c r="L13" i="2" s="1"/>
  <c r="E13" i="4"/>
  <c r="H13" i="4" s="1"/>
  <c r="I13" i="4" s="1"/>
  <c r="J13" i="4" s="1"/>
  <c r="K13" i="4" s="1"/>
  <c r="F12" i="4"/>
  <c r="L12" i="2" s="1"/>
  <c r="E12" i="4"/>
  <c r="H12" i="4" s="1"/>
  <c r="I12" i="4" s="1"/>
  <c r="J12" i="4" s="1"/>
  <c r="K12" i="4" s="1"/>
  <c r="F11" i="4"/>
  <c r="L11" i="2" s="1"/>
  <c r="E11" i="4"/>
  <c r="H11" i="4" s="1"/>
  <c r="I11" i="4" s="1"/>
  <c r="J11" i="4" s="1"/>
  <c r="K11" i="4" s="1"/>
  <c r="A11" i="4"/>
  <c r="A12" i="4" s="1"/>
  <c r="A13" i="4" s="1"/>
  <c r="A14" i="4" s="1"/>
  <c r="A15" i="4" s="1"/>
  <c r="A16" i="4" s="1"/>
  <c r="A17" i="4" s="1"/>
  <c r="F10" i="4"/>
  <c r="L10" i="2" s="1"/>
  <c r="E10" i="4"/>
  <c r="H10" i="4" s="1"/>
  <c r="I10" i="4" s="1"/>
  <c r="J10" i="4" s="1"/>
  <c r="K10" i="4" s="1"/>
  <c r="F3" i="4"/>
  <c r="F4" i="4"/>
  <c r="F5" i="4"/>
  <c r="F6" i="4"/>
  <c r="F7" i="4"/>
  <c r="F8" i="4"/>
  <c r="F9" i="4"/>
  <c r="F2" i="4"/>
  <c r="B9" i="4"/>
  <c r="B3" i="4"/>
  <c r="B4" i="4"/>
  <c r="B5" i="4"/>
  <c r="B6" i="4"/>
  <c r="B7" i="4"/>
  <c r="B8" i="4"/>
  <c r="B2" i="4"/>
  <c r="F8" i="3"/>
  <c r="F7" i="3"/>
  <c r="B4" i="3"/>
  <c r="B5" i="3" s="1"/>
  <c r="B6" i="3" s="1"/>
  <c r="B7" i="3" s="1"/>
  <c r="B8" i="3" s="1"/>
  <c r="B9" i="3" s="1"/>
  <c r="B10" i="3" s="1"/>
  <c r="B11" i="3" s="1"/>
  <c r="B12" i="3" s="1"/>
  <c r="B13" i="3" s="1"/>
  <c r="K47" i="1"/>
  <c r="M46" i="1"/>
  <c r="L46" i="1"/>
  <c r="L59" i="1" s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D58" i="1" s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H56" i="1" s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L54" i="1" s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D53" i="1" s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F58" i="1" l="1"/>
  <c r="C55" i="1"/>
  <c r="H53" i="1"/>
  <c r="K58" i="1"/>
  <c r="J53" i="1"/>
  <c r="D57" i="1"/>
  <c r="B59" i="1"/>
  <c r="C9" i="2" s="1"/>
  <c r="C52" i="1"/>
  <c r="L58" i="1"/>
  <c r="A9" i="3" s="1"/>
  <c r="H58" i="1"/>
  <c r="C57" i="1"/>
  <c r="M59" i="1"/>
  <c r="L72" i="1" s="1"/>
  <c r="G58" i="1"/>
  <c r="L56" i="1"/>
  <c r="A7" i="3" s="1"/>
  <c r="B57" i="1"/>
  <c r="C7" i="2" s="1"/>
  <c r="K53" i="1"/>
  <c r="D52" i="1"/>
  <c r="H55" i="1"/>
  <c r="C21" i="2" s="1"/>
  <c r="J55" i="1"/>
  <c r="C54" i="1"/>
  <c r="G57" i="1"/>
  <c r="D54" i="1"/>
  <c r="D59" i="1"/>
  <c r="F54" i="1"/>
  <c r="K57" i="1"/>
  <c r="L57" i="1"/>
  <c r="A8" i="3" s="1"/>
  <c r="F53" i="1"/>
  <c r="B55" i="1"/>
  <c r="J56" i="1"/>
  <c r="G53" i="1"/>
  <c r="D55" i="1"/>
  <c r="F55" i="1"/>
  <c r="G55" i="1"/>
  <c r="F52" i="1"/>
  <c r="F57" i="1"/>
  <c r="H52" i="1"/>
  <c r="C18" i="2" s="1"/>
  <c r="H57" i="1"/>
  <c r="C23" i="2" s="1"/>
  <c r="J52" i="1"/>
  <c r="B56" i="1"/>
  <c r="F59" i="1"/>
  <c r="K52" i="1"/>
  <c r="C56" i="1"/>
  <c r="G59" i="1"/>
  <c r="L52" i="1"/>
  <c r="D56" i="1"/>
  <c r="H59" i="1"/>
  <c r="B53" i="1"/>
  <c r="C3" i="2" s="1"/>
  <c r="J54" i="1"/>
  <c r="F56" i="1"/>
  <c r="B58" i="1"/>
  <c r="C8" i="2" s="1"/>
  <c r="J59" i="1"/>
  <c r="K56" i="1"/>
  <c r="B52" i="1"/>
  <c r="B65" i="1" s="1"/>
  <c r="J58" i="1"/>
  <c r="L53" i="1"/>
  <c r="B54" i="1"/>
  <c r="C4" i="2" s="1"/>
  <c r="A10" i="3"/>
  <c r="G52" i="1"/>
  <c r="K55" i="1"/>
  <c r="C59" i="1"/>
  <c r="L55" i="1"/>
  <c r="A6" i="3" s="1"/>
  <c r="J57" i="1"/>
  <c r="G54" i="1"/>
  <c r="H54" i="1"/>
  <c r="C53" i="1"/>
  <c r="K54" i="1"/>
  <c r="G56" i="1"/>
  <c r="C58" i="1"/>
  <c r="K59" i="1"/>
  <c r="B66" i="1"/>
  <c r="B69" i="1"/>
  <c r="H71" i="1"/>
  <c r="L65" i="1"/>
  <c r="L67" i="1"/>
  <c r="L69" i="1"/>
  <c r="M52" i="1"/>
  <c r="E55" i="1"/>
  <c r="I57" i="1"/>
  <c r="M58" i="1"/>
  <c r="E53" i="1"/>
  <c r="M54" i="1"/>
  <c r="A5" i="3" s="1"/>
  <c r="E57" i="1"/>
  <c r="E59" i="1"/>
  <c r="E52" i="1"/>
  <c r="I52" i="1"/>
  <c r="I53" i="1"/>
  <c r="H66" i="1" s="1"/>
  <c r="M53" i="1"/>
  <c r="L66" i="1" s="1"/>
  <c r="E54" i="1"/>
  <c r="I54" i="1"/>
  <c r="H67" i="1" s="1"/>
  <c r="I55" i="1"/>
  <c r="M55" i="1"/>
  <c r="E56" i="1"/>
  <c r="I56" i="1"/>
  <c r="C22" i="2" s="1"/>
  <c r="M56" i="1"/>
  <c r="M57" i="1"/>
  <c r="E58" i="1"/>
  <c r="I58" i="1"/>
  <c r="I59" i="1"/>
  <c r="E67" i="1" l="1"/>
  <c r="C12" i="2"/>
  <c r="E70" i="1"/>
  <c r="C15" i="2"/>
  <c r="C5" i="2"/>
  <c r="H72" i="1"/>
  <c r="C25" i="2"/>
  <c r="E68" i="1"/>
  <c r="C13" i="2"/>
  <c r="E71" i="1"/>
  <c r="C16" i="2"/>
  <c r="B71" i="1"/>
  <c r="C19" i="2"/>
  <c r="A4" i="3"/>
  <c r="K66" i="1"/>
  <c r="A12" i="3"/>
  <c r="K67" i="1"/>
  <c r="A13" i="3"/>
  <c r="E72" i="1"/>
  <c r="C17" i="2"/>
  <c r="C24" i="2"/>
  <c r="E66" i="1"/>
  <c r="C11" i="2"/>
  <c r="L71" i="1"/>
  <c r="C20" i="2"/>
  <c r="B72" i="1"/>
  <c r="B68" i="1"/>
  <c r="H65" i="1"/>
  <c r="C2" i="2"/>
  <c r="E65" i="1"/>
  <c r="C10" i="2"/>
  <c r="H70" i="1"/>
  <c r="A3" i="3"/>
  <c r="L70" i="1"/>
  <c r="B70" i="1"/>
  <c r="K65" i="1"/>
  <c r="A11" i="3"/>
  <c r="E69" i="1"/>
  <c r="C14" i="2"/>
  <c r="L68" i="1"/>
  <c r="B67" i="1"/>
  <c r="C6" i="2"/>
  <c r="H68" i="1"/>
  <c r="H69" i="1"/>
  <c r="F6" i="3"/>
  <c r="E2" i="4" l="1"/>
  <c r="H2" i="4" s="1"/>
  <c r="I2" i="4" s="1"/>
  <c r="J2" i="4" s="1"/>
  <c r="K2" i="4" s="1"/>
  <c r="E3" i="4"/>
  <c r="H3" i="4" s="1"/>
  <c r="I3" i="4" s="1"/>
  <c r="J3" i="4" s="1"/>
  <c r="K3" i="4" s="1"/>
  <c r="E4" i="4"/>
  <c r="H4" i="4" s="1"/>
  <c r="I4" i="4" s="1"/>
  <c r="J4" i="4" s="1"/>
  <c r="K4" i="4" s="1"/>
  <c r="E5" i="4"/>
  <c r="H5" i="4" s="1"/>
  <c r="I5" i="4" s="1"/>
  <c r="J5" i="4" s="1"/>
  <c r="K5" i="4" s="1"/>
  <c r="E6" i="4"/>
  <c r="H6" i="4" s="1"/>
  <c r="I6" i="4" s="1"/>
  <c r="J6" i="4" s="1"/>
  <c r="K6" i="4" s="1"/>
  <c r="E7" i="4"/>
  <c r="H7" i="4" s="1"/>
  <c r="I7" i="4" s="1"/>
  <c r="J7" i="4" s="1"/>
  <c r="K7" i="4" s="1"/>
  <c r="E8" i="4"/>
  <c r="H8" i="4" s="1"/>
  <c r="I8" i="4" s="1"/>
  <c r="J8" i="4" s="1"/>
  <c r="K8" i="4" s="1"/>
  <c r="E9" i="4"/>
  <c r="H9" i="4" s="1"/>
  <c r="I9" i="4" s="1"/>
  <c r="J9" i="4" s="1"/>
  <c r="K9" i="4" s="1"/>
  <c r="L9" i="2" l="1"/>
  <c r="L8" i="2"/>
  <c r="L7" i="2"/>
  <c r="L6" i="2"/>
  <c r="L5" i="2"/>
  <c r="L4" i="2"/>
  <c r="L3" i="2"/>
  <c r="L2" i="2"/>
  <c r="A1" i="3"/>
  <c r="B19" i="2" l="1"/>
  <c r="B20" i="2"/>
  <c r="B21" i="2"/>
  <c r="B22" i="2"/>
  <c r="B23" i="2"/>
  <c r="B24" i="2"/>
  <c r="B25" i="2"/>
  <c r="B18" i="2"/>
  <c r="B9" i="2"/>
  <c r="B11" i="2"/>
  <c r="B12" i="2"/>
  <c r="B13" i="2"/>
  <c r="B14" i="2"/>
  <c r="B15" i="2"/>
  <c r="B16" i="2"/>
  <c r="B17" i="2"/>
  <c r="A3" i="4"/>
  <c r="A4" i="4" s="1"/>
  <c r="A5" i="4" s="1"/>
  <c r="A6" i="4" s="1"/>
  <c r="A7" i="4" s="1"/>
  <c r="A8" i="4" s="1"/>
  <c r="A9" i="4" s="1"/>
  <c r="B10" i="2" l="1"/>
  <c r="B3" i="2"/>
  <c r="B4" i="2"/>
  <c r="B5" i="2"/>
  <c r="B6" i="2"/>
  <c r="B7" i="2"/>
  <c r="B8" i="2"/>
  <c r="B2" i="2"/>
  <c r="E25" i="2" l="1"/>
  <c r="F25" i="2" s="1"/>
  <c r="E21" i="2"/>
  <c r="F21" i="2" s="1"/>
  <c r="E23" i="2"/>
  <c r="F23" i="2" s="1"/>
  <c r="E15" i="2"/>
  <c r="F15" i="2" s="1"/>
  <c r="E17" i="2"/>
  <c r="F17" i="2" s="1"/>
  <c r="G17" i="2" l="1"/>
  <c r="G15" i="2"/>
  <c r="G25" i="2"/>
  <c r="E7" i="2"/>
  <c r="G23" i="2"/>
  <c r="E10" i="2"/>
  <c r="F10" i="2" s="1"/>
  <c r="G21" i="2"/>
  <c r="E19" i="2"/>
  <c r="F19" i="2" s="1"/>
  <c r="E12" i="2"/>
  <c r="F12" i="2" s="1"/>
  <c r="E11" i="2"/>
  <c r="F11" i="2" s="1"/>
  <c r="E4" i="2"/>
  <c r="E13" i="2"/>
  <c r="F13" i="2" s="1"/>
  <c r="E14" i="2"/>
  <c r="F14" i="2" s="1"/>
  <c r="E3" i="2"/>
  <c r="E24" i="2"/>
  <c r="F24" i="2" s="1"/>
  <c r="E22" i="2"/>
  <c r="F22" i="2" s="1"/>
  <c r="E20" i="2"/>
  <c r="F20" i="2" s="1"/>
  <c r="E5" i="2"/>
  <c r="E6" i="2"/>
  <c r="E18" i="2"/>
  <c r="F18" i="2" s="1"/>
  <c r="E16" i="2"/>
  <c r="F16" i="2" s="1"/>
  <c r="E2" i="2"/>
  <c r="I21" i="2" l="1"/>
  <c r="J21" i="2" s="1"/>
  <c r="K21" i="2" s="1"/>
  <c r="I23" i="2"/>
  <c r="J23" i="2" s="1"/>
  <c r="K23" i="2" s="1"/>
  <c r="I25" i="2"/>
  <c r="J25" i="2" s="1"/>
  <c r="K25" i="2" s="1"/>
  <c r="I15" i="2"/>
  <c r="J15" i="2" s="1"/>
  <c r="K15" i="2" s="1"/>
  <c r="I17" i="2"/>
  <c r="J17" i="2" s="1"/>
  <c r="K17" i="2" s="1"/>
  <c r="G11" i="2"/>
  <c r="G16" i="2"/>
  <c r="F2" i="2"/>
  <c r="G2" i="2" s="1"/>
  <c r="I2" i="2" s="1"/>
  <c r="J2" i="2" s="1"/>
  <c r="K2" i="2" s="1"/>
  <c r="G24" i="2"/>
  <c r="G13" i="2"/>
  <c r="F3" i="2"/>
  <c r="G3" i="2" s="1"/>
  <c r="I3" i="2" s="1"/>
  <c r="J3" i="2" s="1"/>
  <c r="K3" i="2" s="1"/>
  <c r="E9" i="2"/>
  <c r="F9" i="2" s="1"/>
  <c r="G9" i="2" s="1"/>
  <c r="I9" i="2" s="1"/>
  <c r="J9" i="2" s="1"/>
  <c r="K9" i="2" s="1"/>
  <c r="G12" i="2"/>
  <c r="G10" i="2"/>
  <c r="I10" i="2" s="1"/>
  <c r="F7" i="2"/>
  <c r="G7" i="2" s="1"/>
  <c r="I7" i="2" s="1"/>
  <c r="J7" i="2" s="1"/>
  <c r="K7" i="2" s="1"/>
  <c r="F6" i="2"/>
  <c r="G6" i="2" s="1"/>
  <c r="I6" i="2" s="1"/>
  <c r="J6" i="2" s="1"/>
  <c r="K6" i="2" s="1"/>
  <c r="F5" i="2"/>
  <c r="G5" i="2" s="1"/>
  <c r="I5" i="2" s="1"/>
  <c r="J5" i="2" s="1"/>
  <c r="K5" i="2" s="1"/>
  <c r="G22" i="2"/>
  <c r="F4" i="2"/>
  <c r="G4" i="2" s="1"/>
  <c r="I4" i="2" s="1"/>
  <c r="J4" i="2" s="1"/>
  <c r="K4" i="2" s="1"/>
  <c r="G19" i="2"/>
  <c r="G18" i="2"/>
  <c r="I18" i="2" s="1"/>
  <c r="J18" i="2" s="1"/>
  <c r="G20" i="2"/>
  <c r="E8" i="2"/>
  <c r="F8" i="2" s="1"/>
  <c r="G8" i="2" s="1"/>
  <c r="I8" i="2" s="1"/>
  <c r="J8" i="2" s="1"/>
  <c r="K8" i="2" s="1"/>
  <c r="G14" i="2"/>
  <c r="J10" i="2" l="1"/>
  <c r="K10" i="2" s="1"/>
  <c r="I24" i="2"/>
  <c r="J24" i="2" s="1"/>
  <c r="K24" i="2" s="1"/>
  <c r="I16" i="2"/>
  <c r="J16" i="2" s="1"/>
  <c r="K16" i="2" s="1"/>
  <c r="I11" i="2"/>
  <c r="J11" i="2" s="1"/>
  <c r="K11" i="2" s="1"/>
  <c r="I19" i="2"/>
  <c r="J19" i="2" s="1"/>
  <c r="K19" i="2" s="1"/>
  <c r="I13" i="2"/>
  <c r="J13" i="2" s="1"/>
  <c r="K13" i="2" s="1"/>
  <c r="I14" i="2"/>
  <c r="J14" i="2" s="1"/>
  <c r="K14" i="2" s="1"/>
  <c r="I12" i="2"/>
  <c r="J12" i="2" s="1"/>
  <c r="K12" i="2" s="1"/>
  <c r="I20" i="2"/>
  <c r="J20" i="2" s="1"/>
  <c r="K20" i="2" s="1"/>
  <c r="I22" i="2"/>
  <c r="J22" i="2" s="1"/>
  <c r="K22" i="2" s="1"/>
  <c r="K18" i="2"/>
</calcChain>
</file>

<file path=xl/sharedStrings.xml><?xml version="1.0" encoding="utf-8"?>
<sst xmlns="http://schemas.openxmlformats.org/spreadsheetml/2006/main" count="228" uniqueCount="84">
  <si>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</si>
  <si>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</si>
  <si>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</si>
  <si>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</si>
  <si>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</si>
  <si>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</si>
  <si>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</si>
  <si>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</si>
  <si>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</si>
  <si>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</si>
  <si>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</si>
  <si>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</si>
  <si>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</si>
  <si>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</si>
  <si>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</si>
  <si>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</si>
  <si>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</si>
  <si>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</si>
  <si>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</si>
  <si>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</si>
  <si>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</si>
  <si>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</si>
  <si>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</si>
  <si>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</si>
  <si>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</si>
  <si>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</si>
  <si>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</si>
  <si>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</si>
  <si>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</si>
  <si>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</si>
  <si>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</si>
  <si>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</si>
  <si>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</si>
  <si>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</si>
  <si>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</si>
  <si>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</si>
  <si>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</si>
  <si>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</si>
  <si>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</si>
  <si>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</si>
  <si>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</si>
  <si>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</si>
  <si>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</si>
  <si>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</si>
  <si>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</si>
  <si>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</si>
  <si>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</si>
  <si>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ABSORBANCE CORRIGEE AVEC NEGATIF</t>
  </si>
  <si>
    <t>plaque</t>
  </si>
  <si>
    <t>corrigpoids_ng.g</t>
  </si>
  <si>
    <t>ECART TYPE</t>
  </si>
  <si>
    <t>NCHA100247_FA-1</t>
  </si>
  <si>
    <t>NCHA100249_FA-1</t>
  </si>
  <si>
    <t>NCHA100245_FA-1</t>
  </si>
  <si>
    <t>NCHA100246_FA-1</t>
  </si>
  <si>
    <t>volume-crotte_µL</t>
  </si>
  <si>
    <t>Vf</t>
  </si>
  <si>
    <t>facteur_dilution_elution</t>
  </si>
  <si>
    <t>facteur_dilution_final</t>
  </si>
  <si>
    <t>PLAQUE TEST DILUTION</t>
  </si>
  <si>
    <t>NCHA100079_FA-1</t>
  </si>
  <si>
    <t>S0</t>
  </si>
  <si>
    <t>S0bis</t>
  </si>
  <si>
    <t>NCHA100091_FA-1</t>
  </si>
  <si>
    <t>NCHA100096_FA-1</t>
  </si>
  <si>
    <t>NCHA100099_FA-1</t>
  </si>
  <si>
    <t>S8bis</t>
  </si>
  <si>
    <t>S7 bis</t>
  </si>
  <si>
    <t>type</t>
  </si>
  <si>
    <t>Moyenne</t>
  </si>
  <si>
    <t>abs_moyenne1</t>
  </si>
  <si>
    <t>abs_moyenne2</t>
  </si>
  <si>
    <t>abs_moyenne3</t>
  </si>
  <si>
    <t>NCHA100079</t>
  </si>
  <si>
    <t>NCHA100091</t>
  </si>
  <si>
    <t>NCHA100096</t>
  </si>
  <si>
    <t>NCHA100099</t>
  </si>
  <si>
    <t>NCHA100245</t>
  </si>
  <si>
    <t>NCHA100246</t>
  </si>
  <si>
    <t>NCHA100247</t>
  </si>
  <si>
    <t>NCHA100249</t>
  </si>
  <si>
    <t>quantif_ng.mL-1_1</t>
  </si>
  <si>
    <t>quantif_ng.mL-1_2</t>
  </si>
  <si>
    <t>quantif_ng.mL-1_3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</si>
</sst>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7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7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4" fontId="0" fillId="6" borderId="1" xfId="0" applyNumberFormat="1" applyFill="1" applyBorder="1"/>
    <xf numFmtId="0" fontId="0" fillId="6" borderId="1" xfId="0" applyFill="1" applyBorder="1" applyAlignment="1">
      <alignment wrapText="1"/>
    </xf>
    <xf numFmtId="2" fontId="0" fillId="6" borderId="1" xfId="0" applyNumberFormat="1" applyFill="1" applyBorder="1"/>
    <xf numFmtId="0" fontId="1" fillId="2" borderId="1" xfId="0" applyFont="1" applyFill="1" applyBorder="1" applyAlignment="1">
      <alignment horizontal="left" vertical="center"/>
    </xf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  <xf numFmtId="0" fontId="1" fillId="4" borderId="1" xfId="0" applyFont="1" applyFill="1" applyBorder="1" applyAlignment="1">
      <alignment horizontal="left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wrapText="1"/>
    </xf>
    <xf numFmtId="2" fontId="0" fillId="4" borderId="1" xfId="0" applyNumberFormat="1" applyFill="1" applyBorder="1"/>
    <xf numFmtId="0" fontId="0" fillId="11" borderId="0" xfId="0" applyFill="1"/>
    <xf numFmtId="0" fontId="0" fillId="2" borderId="0" xfId="0" applyFill="1"/>
    <xf numFmtId="165" fontId="0" fillId="2" borderId="0" xfId="0" applyNumberFormat="1" applyFill="1"/>
    <xf numFmtId="165" fontId="0" fillId="6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4" borderId="4" xfId="0" applyFill="1" applyBorder="1"/>
    <xf numFmtId="165" fontId="0" fillId="4" borderId="4" xfId="0" applyNumberFormat="1" applyFill="1" applyBorder="1"/>
    <xf numFmtId="0" fontId="0" fillId="3" borderId="0" xfId="0" applyFill="1"/>
    <xf numFmtId="0" fontId="2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5" fontId="0" fillId="2" borderId="1" xfId="0" applyNumberFormat="1" applyFill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FF8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952755905511809E-2"/>
                  <c:y val="1.81270049577136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FR" sz="1600" baseline="0"/>
                      <a:t>y = 0,1392e</a:t>
                    </a:r>
                    <a:r>
                      <a:rPr lang="fr-FR" sz="1600" baseline="30000"/>
                      <a:t>7,5601x</a:t>
                    </a:r>
                    <a:endParaRPr lang="fr-FR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courbe_etalon!$A$3:$A$13</c:f>
              <c:numCache>
                <c:formatCode>General</c:formatCode>
                <c:ptCount val="11"/>
                <c:pt idx="0">
                  <c:v>0.77799999999999991</c:v>
                </c:pt>
                <c:pt idx="1">
                  <c:v>0.72299999999999998</c:v>
                </c:pt>
                <c:pt idx="2">
                  <c:v>0.621</c:v>
                </c:pt>
                <c:pt idx="3">
                  <c:v>0.50049999999999994</c:v>
                </c:pt>
                <c:pt idx="4">
                  <c:v>0.39850000000000002</c:v>
                </c:pt>
                <c:pt idx="5">
                  <c:v>0.21299999999999997</c:v>
                </c:pt>
                <c:pt idx="6">
                  <c:v>0.14150000000000001</c:v>
                </c:pt>
                <c:pt idx="7">
                  <c:v>7.6999999999999999E-2</c:v>
                </c:pt>
                <c:pt idx="8">
                  <c:v>2.6000000000000002E-2</c:v>
                </c:pt>
                <c:pt idx="9">
                  <c:v>2.0999999999999998E-2</c:v>
                </c:pt>
                <c:pt idx="10">
                  <c:v>1.9249999999999996E-2</c:v>
                </c:pt>
              </c:numCache>
            </c:numRef>
          </c:xVal>
          <c:yVal>
            <c:numRef>
              <c:f>courbe_etalon!$B$3:$B$13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  <c:pt idx="8">
                  <c:v>0.1953125</c:v>
                </c:pt>
                <c:pt idx="9">
                  <c:v>9.765625E-2</c:v>
                </c:pt>
                <c:pt idx="10">
                  <c:v>4.8828125E-2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A-4130-9F78-35B694DA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64095"/>
        <c:axId val="269864575"/>
      </c:scatterChart>
      <c:valAx>
        <c:axId val="2698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9864575"/>
        <c:crosses val="autoZero"/>
        <c:crossBetween val="midCat"/>
      </c:valAx>
      <c:valAx>
        <c:axId val="2698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986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quantification!$C$40</c:f>
              <c:strCache>
                <c:ptCount val="1"/>
                <c:pt idx="0">
                  <c:v>ng.µL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quantification!$B$41:$B$64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xVal>
          <c:yVal>
            <c:numRef>
              <c:f>quantification!$C$41:$C$64</c:f>
              <c:numCache>
                <c:formatCode>General</c:formatCode>
                <c:ptCount val="24"/>
                <c:pt idx="0">
                  <c:v>4.0283404028259184</c:v>
                </c:pt>
                <c:pt idx="1">
                  <c:v>5.4274634879289607</c:v>
                </c:pt>
                <c:pt idx="2">
                  <c:v>1.8287609620591068</c:v>
                </c:pt>
                <c:pt idx="3">
                  <c:v>1.7273452603647657</c:v>
                </c:pt>
                <c:pt idx="4">
                  <c:v>8.0860693239658925</c:v>
                </c:pt>
                <c:pt idx="5">
                  <c:v>2.4713011325276826</c:v>
                </c:pt>
                <c:pt idx="6">
                  <c:v>2.2801541033743673</c:v>
                </c:pt>
                <c:pt idx="7">
                  <c:v>0.87218747354600368</c:v>
                </c:pt>
                <c:pt idx="8">
                  <c:v>2.8790169647418944</c:v>
                </c:pt>
                <c:pt idx="9">
                  <c:v>6.8904329416016354</c:v>
                </c:pt>
                <c:pt idx="10">
                  <c:v>1.8320170226670258</c:v>
                </c:pt>
                <c:pt idx="11">
                  <c:v>1.6536814573110512</c:v>
                </c:pt>
                <c:pt idx="12">
                  <c:v>6.6885633260818071</c:v>
                </c:pt>
                <c:pt idx="13">
                  <c:v>3.444049789508679</c:v>
                </c:pt>
                <c:pt idx="14">
                  <c:v>3.1856817626156824</c:v>
                </c:pt>
                <c:pt idx="15">
                  <c:v>0.57795604390079947</c:v>
                </c:pt>
                <c:pt idx="16">
                  <c:v>6.8376167035469919</c:v>
                </c:pt>
                <c:pt idx="17">
                  <c:v>9.0285915811122557</c:v>
                </c:pt>
                <c:pt idx="18">
                  <c:v>2.595556790181758</c:v>
                </c:pt>
                <c:pt idx="19">
                  <c:v>1.5188322054146988</c:v>
                </c:pt>
                <c:pt idx="20">
                  <c:v>8.2082578289896944</c:v>
                </c:pt>
                <c:pt idx="21">
                  <c:v>5.5626425543585398</c:v>
                </c:pt>
                <c:pt idx="22">
                  <c:v>5.5354480896103633</c:v>
                </c:pt>
                <c:pt idx="23">
                  <c:v>4.718774863493274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9-48E8-91A7-A3E9C07C5EC4}"/>
            </c:ext>
          </c:extLst>
        </c:ser>
        <c:ser>
          <c:idx val="1"/>
          <c:order val="1"/>
          <c:tx>
            <c:strRef>
              <c:f>quantification!$D$40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quantification!$B$41:$B$64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xVal>
          <c:yVal>
            <c:numRef>
              <c:f>quantification!$D$41:$D$64</c:f>
              <c:numCache>
                <c:formatCode>General</c:formatCode>
                <c:ptCount val="24"/>
                <c:pt idx="0">
                  <c:v>3.3402027683240871</c:v>
                </c:pt>
                <c:pt idx="8">
                  <c:v>3.3939249135535716</c:v>
                </c:pt>
                <c:pt idx="16">
                  <c:v>5.5007150770884472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9-48E8-91A7-A3E9C07C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9247"/>
        <c:axId val="1768358831"/>
      </c:scatterChart>
      <c:valAx>
        <c:axId val="176835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358831"/>
        <c:crosses val="autoZero"/>
        <c:crossBetween val="midCat"/>
      </c:valAx>
      <c:valAx>
        <c:axId val="17683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835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quantification!$A$77:$C$77</c:f>
              <c:numCache>
                <c:formatCode>General</c:formatCode>
                <c:ptCount val="3"/>
                <c:pt idx="0">
                  <c:v>0.70466666666666666</c:v>
                </c:pt>
                <c:pt idx="1">
                  <c:v>0.59266666666666667</c:v>
                </c:pt>
                <c:pt idx="2">
                  <c:v>0.6293333333333333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2-4419-909E-E23E171309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quantification!$A$78:$C$78</c:f>
              <c:numCache>
                <c:formatCode>General</c:formatCode>
                <c:ptCount val="3"/>
                <c:pt idx="0">
                  <c:v>0.69833333333333325</c:v>
                </c:pt>
                <c:pt idx="1">
                  <c:v>0.66233333333333333</c:v>
                </c:pt>
                <c:pt idx="2">
                  <c:v>0.62033333333333329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2-4419-909E-E23E171309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quantification!$A$79:$C$79</c:f>
              <c:numCache>
                <c:formatCode>General</c:formatCode>
                <c:ptCount val="3"/>
                <c:pt idx="0">
                  <c:v>0.65166666666666662</c:v>
                </c:pt>
                <c:pt idx="1">
                  <c:v>0.58433333333333326</c:v>
                </c:pt>
                <c:pt idx="2">
                  <c:v>0.55266666666666664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2-4419-909E-E23E171309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quantification!$A$80:$C$80</c:f>
              <c:numCache>
                <c:formatCode>General</c:formatCode>
                <c:ptCount val="3"/>
                <c:pt idx="0">
                  <c:v>0.6463333333333332</c:v>
                </c:pt>
                <c:pt idx="1">
                  <c:v>0.57299999999999995</c:v>
                </c:pt>
                <c:pt idx="2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2-4419-909E-E23E171309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quantification!$A$81:$C$81</c:f>
              <c:numCache>
                <c:formatCode>General</c:formatCode>
                <c:ptCount val="3"/>
                <c:pt idx="0">
                  <c:v>0.67166666666666652</c:v>
                </c:pt>
                <c:pt idx="1">
                  <c:v>0.57899999999999996</c:v>
                </c:pt>
                <c:pt idx="2">
                  <c:v>0.52833333333333332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2-4419-909E-E23E171309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quantification!$A$82:$C$82</c:f>
              <c:numCache>
                <c:formatCode>General</c:formatCode>
                <c:ptCount val="3"/>
                <c:pt idx="0">
                  <c:v>0.48866666666666675</c:v>
                </c:pt>
                <c:pt idx="1">
                  <c:v>0.46500000000000002</c:v>
                </c:pt>
                <c:pt idx="2">
                  <c:v>0.45066666666666672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02-4419-909E-E23E171309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quantification!$A$83:$C$83</c:f>
              <c:numCache>
                <c:formatCode>General</c:formatCode>
                <c:ptCount val="3"/>
                <c:pt idx="0">
                  <c:v>0.64800000000000002</c:v>
                </c:pt>
                <c:pt idx="1">
                  <c:v>0.62466666666666659</c:v>
                </c:pt>
                <c:pt idx="2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02-4419-909E-E23E171309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quantification!$A$76:$C$76</c:f>
              <c:strCache>
                <c:ptCount val="3"/>
                <c:pt idx="0">
                  <c:v>abs_moyenne1</c:v>
                </c:pt>
                <c:pt idx="1">
                  <c:v>abs_moyenne2</c:v>
                </c:pt>
                <c:pt idx="2">
                  <c:v>abs_moyenne3</c:v>
                </c:pt>
              </c:strCache>
            </c:strRef>
          </c:cat>
          <c:val>
            <c:numRef>
              <c:f>quantification!$A$84:$C$84</c:f>
              <c:numCache>
                <c:formatCode>General</c:formatCode>
                <c:ptCount val="3"/>
                <c:pt idx="0">
                  <c:v>0.48566666666666669</c:v>
                </c:pt>
                <c:pt idx="1">
                  <c:v>0.36366666666666664</c:v>
                </c:pt>
                <c:pt idx="2">
                  <c:v>0.56366666666666665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02-4419-909E-E23E1713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66416"/>
        <c:axId val="883357680"/>
      </c:lineChart>
      <c:catAx>
        <c:axId val="88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57680"/>
        <c:crosses val="autoZero"/>
        <c:auto val="1"/>
        <c:lblAlgn val="ctr"/>
        <c:lblOffset val="100"/>
        <c:noMultiLvlLbl val="0"/>
      </c:catAx>
      <c:valAx>
        <c:axId val="883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quantification!$A$94:$C$94</c:f>
              <c:numCache>
                <c:formatCode>0.00000000</c:formatCode>
                <c:ptCount val="3"/>
                <c:pt idx="0">
                  <c:v>28.660129348168926</c:v>
                </c:pt>
                <c:pt idx="1">
                  <c:v>12.289874790202694</c:v>
                </c:pt>
                <c:pt idx="2">
                  <c:v>16.215691787068153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21-94AC-9C14A4164D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quantification!$A$95:$C$95</c:f>
              <c:numCache>
                <c:formatCode>0.00000000</c:formatCode>
                <c:ptCount val="3"/>
                <c:pt idx="0">
                  <c:v>27.320198550158132</c:v>
                </c:pt>
                <c:pt idx="1">
                  <c:v>20.810604785802749</c:v>
                </c:pt>
                <c:pt idx="2">
                  <c:v>15.149060279132089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21-94AC-9C14A4164D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quantification!$A$96:$C$96</c:f>
              <c:numCache>
                <c:formatCode>0.00000000</c:formatCode>
                <c:ptCount val="3"/>
                <c:pt idx="0">
                  <c:v>19.198298121212673</c:v>
                </c:pt>
                <c:pt idx="1">
                  <c:v>11.539488110473313</c:v>
                </c:pt>
                <c:pt idx="2">
                  <c:v>9.0827020921568806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21-94AC-9C14A4164D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quantification!$A$97:$C$97</c:f>
              <c:numCache>
                <c:formatCode>0.00000000</c:formatCode>
                <c:ptCount val="3"/>
                <c:pt idx="0">
                  <c:v>18.439610627340347</c:v>
                </c:pt>
                <c:pt idx="1">
                  <c:v>10.591944601056502</c:v>
                </c:pt>
                <c:pt idx="2">
                  <c:v>5.4045698754703411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D-4821-94AC-9C14A4164DB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quantification!$A$98:$C$98</c:f>
              <c:numCache>
                <c:formatCode>0.00000000</c:formatCode>
                <c:ptCount val="3"/>
                <c:pt idx="0">
                  <c:v>22.332067177810579</c:v>
                </c:pt>
                <c:pt idx="1">
                  <c:v>11.08346512031925</c:v>
                </c:pt>
                <c:pt idx="2">
                  <c:v>7.5565089334769864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D-4821-94AC-9C14A4164DB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quantification!$A$99:$C$99</c:f>
              <c:numCache>
                <c:formatCode>0.00000000</c:formatCode>
                <c:ptCount val="3"/>
                <c:pt idx="0">
                  <c:v>5.5986490948926715</c:v>
                </c:pt>
                <c:pt idx="1">
                  <c:v>4.6814269575661438</c:v>
                </c:pt>
                <c:pt idx="2">
                  <c:v>4.2006594950136105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D-4821-94AC-9C14A4164DB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quantification!$A$100:$C$100</c:f>
              <c:numCache>
                <c:formatCode>0.00000000</c:formatCode>
                <c:ptCount val="3"/>
                <c:pt idx="0">
                  <c:v>18.673422736879878</c:v>
                </c:pt>
                <c:pt idx="1">
                  <c:v>15.653568897941526</c:v>
                </c:pt>
                <c:pt idx="2">
                  <c:v>15.110932204447485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D-4821-94AC-9C14A4164DB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quantification!$A$93:$C$93</c:f>
              <c:strCache>
                <c:ptCount val="3"/>
                <c:pt idx="0">
                  <c:v>quantif_ng.mL-1_1</c:v>
                </c:pt>
                <c:pt idx="1">
                  <c:v>quantif_ng.mL-1_2</c:v>
                </c:pt>
                <c:pt idx="2">
                  <c:v>quantif_ng.mL-1_3</c:v>
                </c:pt>
              </c:strCache>
            </c:strRef>
          </c:cat>
          <c:val>
            <c:numRef>
              <c:f>quantification!$A$101:$C$101</c:f>
              <c:numCache>
                <c:formatCode>0.00000000</c:formatCode>
                <c:ptCount val="3"/>
                <c:pt idx="0">
                  <c:v>5.4730991903932837</c:v>
                </c:pt>
                <c:pt idx="1">
                  <c:v>2.1760533269957767</c:v>
                </c:pt>
                <c:pt idx="2">
                  <c:v>9.8703255390849183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D-4821-94AC-9C14A416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61744"/>
        <c:axId val="907360912"/>
      </c:lineChart>
      <c:catAx>
        <c:axId val="9073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360912"/>
        <c:crosses val="autoZero"/>
        <c:auto val="1"/>
        <c:lblAlgn val="ctr"/>
        <c:lblOffset val="100"/>
        <c:noMultiLvlLbl val="0"/>
      </c:catAx>
      <c:valAx>
        <c:axId val="9073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3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ng.µL</a:t>
            </a:r>
          </a:p>
        </cx:rich>
      </cx:tx>
    </cx:title>
    <cx:plotArea>
      <cx:plotAreaRegion>
        <cx:series layoutId="boxWhisker" uniqueId="{DA5DF50B-ABB1-4CB4-A513-F1BB7C5D1A7C}">
          <cx:tx>
            <cx:txData>
              <cx:f>_xlchart.v1.1</cx:f>
              <cx:v>ng.µL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fr-FR"/>
              </a:p>
            </cx:txPr>
            <cx:visibility seriesName="0" categoryName="0" value="0"/>
            <cx:separator>, </cx:separator>
          </cx:dataLabels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146050</xdr:rowOff>
    </xdr:from>
    <xdr:to>
      <xdr:col>13</xdr:col>
      <xdr:colOff>368300</xdr:colOff>
      <xdr:row>16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3D8C49-5643-739B-506F-8837232E8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834838</xdr:colOff>
      <xdr:row>39</xdr:row>
      <xdr:rowOff>1118</xdr:rowOff>
    </xdr:from>
    <xdr:to>
      <xdr:col>8</xdr:col>
      <xdr:colOff>397808</xdr:colOff>
      <xdr:row>53</xdr:row>
      <xdr:rowOff>77318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823632</xdr:colOff>
      <xdr:row>54</xdr:row>
      <xdr:rowOff>79560</xdr:rowOff>
    </xdr:from>
    <xdr:to>
      <xdr:col>8</xdr:col>
      <xdr:colOff>386602</xdr:colOff>
      <xdr:row>68</xdr:row>
      <xdr:rowOff>155760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336176</xdr:colOff>
      <xdr:row>73</xdr:row>
      <xdr:rowOff>101973</xdr:rowOff>
    </xdr:from>
    <xdr:to>
      <xdr:col>7</xdr:col>
      <xdr:colOff>1008529</xdr:colOff>
      <xdr:row>87</xdr:row>
      <xdr:rowOff>178173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347383</xdr:colOff>
      <xdr:row>91</xdr:row>
      <xdr:rowOff>12325</xdr:rowOff>
    </xdr:from>
    <xdr:to>
      <xdr:col>7</xdr:col>
      <xdr:colOff>1019736</xdr:colOff>
      <xdr:row>105</xdr:row>
      <xdr:rowOff>88525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37" zoomScale="70" zoomScaleNormal="70" workbookViewId="0">
      <selection activeCell="J59" sqref="J59"/>
    </sheetView>
  </sheetViews>
  <sheetFormatPr baseColWidth="10" defaultRowHeight="15" x14ac:dyDescent="0.25"/>
  <cols>
    <col min="1" max="7" width="16.7109375" customWidth="1"/>
  </cols>
  <sheetData>
    <row r="1" spans="1:13" ht="15.75" x14ac:dyDescent="0.25">
      <c r="A1" s="86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3" spans="1:13" x14ac:dyDescent="0.25">
      <c r="A3" s="15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/>
      <c r="B4" s="8">
        <v>1</v>
      </c>
      <c r="C4" s="8">
        <v>2</v>
      </c>
      <c r="D4" s="8">
        <v>3</v>
      </c>
      <c r="E4" s="43">
        <v>4</v>
      </c>
      <c r="F4" s="43">
        <v>5</v>
      </c>
      <c r="G4" s="43">
        <v>6</v>
      </c>
      <c r="H4" s="7">
        <v>7</v>
      </c>
      <c r="I4" s="7">
        <v>8</v>
      </c>
      <c r="J4" s="7">
        <v>9</v>
      </c>
      <c r="K4" s="9">
        <v>10</v>
      </c>
      <c r="L4" s="9">
        <v>11</v>
      </c>
      <c r="M4" s="9">
        <v>12</v>
      </c>
    </row>
    <row r="5" spans="1:13" x14ac:dyDescent="0.25">
      <c r="A5" s="5" t="s">
        <v>0</v>
      </c>
      <c r="B5" s="8" t="s">
        <v>60</v>
      </c>
      <c r="C5" s="8" t="s">
        <v>60</v>
      </c>
      <c r="D5" s="8" t="s">
        <v>60</v>
      </c>
      <c r="E5" s="43" t="s">
        <v>60</v>
      </c>
      <c r="F5" s="43" t="s">
        <v>60</v>
      </c>
      <c r="G5" s="43" t="s">
        <v>60</v>
      </c>
      <c r="H5" s="7" t="s">
        <v>60</v>
      </c>
      <c r="I5" s="7" t="s">
        <v>60</v>
      </c>
      <c r="J5" s="7" t="s">
        <v>60</v>
      </c>
      <c r="K5" s="9" t="s">
        <v>36</v>
      </c>
      <c r="L5" s="9" t="s">
        <v>61</v>
      </c>
      <c r="M5" s="9" t="s">
        <v>62</v>
      </c>
    </row>
    <row r="6" spans="1:13" x14ac:dyDescent="0.25">
      <c r="A6" s="5" t="s">
        <v>1</v>
      </c>
      <c r="B6" s="8" t="s">
        <v>63</v>
      </c>
      <c r="C6" s="8" t="s">
        <v>63</v>
      </c>
      <c r="D6" s="8" t="s">
        <v>63</v>
      </c>
      <c r="E6" s="43" t="s">
        <v>63</v>
      </c>
      <c r="F6" s="43" t="s">
        <v>63</v>
      </c>
      <c r="G6" s="43" t="s">
        <v>63</v>
      </c>
      <c r="H6" s="7" t="s">
        <v>63</v>
      </c>
      <c r="I6" s="7" t="s">
        <v>63</v>
      </c>
      <c r="J6" s="7" t="s">
        <v>63</v>
      </c>
      <c r="K6" s="9" t="s">
        <v>37</v>
      </c>
      <c r="L6" s="9" t="s">
        <v>29</v>
      </c>
      <c r="M6" s="9" t="s">
        <v>39</v>
      </c>
    </row>
    <row r="7" spans="1:13" x14ac:dyDescent="0.25">
      <c r="A7" s="5" t="s">
        <v>2</v>
      </c>
      <c r="B7" s="8" t="s">
        <v>64</v>
      </c>
      <c r="C7" s="8" t="s">
        <v>64</v>
      </c>
      <c r="D7" s="8" t="s">
        <v>64</v>
      </c>
      <c r="E7" s="43" t="s">
        <v>64</v>
      </c>
      <c r="F7" s="43" t="s">
        <v>64</v>
      </c>
      <c r="G7" s="43" t="s">
        <v>64</v>
      </c>
      <c r="H7" s="7" t="s">
        <v>64</v>
      </c>
      <c r="I7" s="7" t="s">
        <v>64</v>
      </c>
      <c r="J7" s="7" t="s">
        <v>64</v>
      </c>
      <c r="K7" s="9" t="s">
        <v>38</v>
      </c>
      <c r="L7" s="9" t="s">
        <v>30</v>
      </c>
      <c r="M7" s="9" t="s">
        <v>40</v>
      </c>
    </row>
    <row r="8" spans="1:13" x14ac:dyDescent="0.25">
      <c r="A8" s="5" t="s">
        <v>3</v>
      </c>
      <c r="B8" s="8" t="s">
        <v>65</v>
      </c>
      <c r="C8" s="8" t="s">
        <v>65</v>
      </c>
      <c r="D8" s="8" t="s">
        <v>65</v>
      </c>
      <c r="E8" s="43" t="s">
        <v>65</v>
      </c>
      <c r="F8" s="43" t="s">
        <v>65</v>
      </c>
      <c r="G8" s="43" t="s">
        <v>65</v>
      </c>
      <c r="H8" s="7" t="s">
        <v>65</v>
      </c>
      <c r="I8" s="7" t="s">
        <v>65</v>
      </c>
      <c r="J8" s="7" t="s">
        <v>65</v>
      </c>
      <c r="K8" s="9" t="s">
        <v>66</v>
      </c>
      <c r="L8" s="9" t="s">
        <v>31</v>
      </c>
      <c r="M8" s="9" t="s">
        <v>42</v>
      </c>
    </row>
    <row r="9" spans="1:13" x14ac:dyDescent="0.25">
      <c r="A9" s="5" t="s">
        <v>4</v>
      </c>
      <c r="B9" s="8" t="s">
        <v>53</v>
      </c>
      <c r="C9" s="8" t="s">
        <v>53</v>
      </c>
      <c r="D9" s="8" t="s">
        <v>53</v>
      </c>
      <c r="E9" s="43" t="s">
        <v>53</v>
      </c>
      <c r="F9" s="43" t="s">
        <v>53</v>
      </c>
      <c r="G9" s="43" t="s">
        <v>53</v>
      </c>
      <c r="H9" s="7" t="s">
        <v>53</v>
      </c>
      <c r="I9" s="7" t="s">
        <v>53</v>
      </c>
      <c r="J9" s="7" t="s">
        <v>53</v>
      </c>
      <c r="K9" s="9" t="s">
        <v>41</v>
      </c>
      <c r="L9" s="9" t="s">
        <v>32</v>
      </c>
      <c r="M9" s="9" t="s">
        <v>44</v>
      </c>
    </row>
    <row r="10" spans="1:13" x14ac:dyDescent="0.25">
      <c r="A10" s="5" t="s">
        <v>5</v>
      </c>
      <c r="B10" s="8" t="s">
        <v>54</v>
      </c>
      <c r="C10" s="8" t="s">
        <v>54</v>
      </c>
      <c r="D10" s="8" t="s">
        <v>54</v>
      </c>
      <c r="E10" s="43" t="s">
        <v>54</v>
      </c>
      <c r="F10" s="43" t="s">
        <v>54</v>
      </c>
      <c r="G10" s="43" t="s">
        <v>54</v>
      </c>
      <c r="H10" s="7" t="s">
        <v>54</v>
      </c>
      <c r="I10" s="7" t="s">
        <v>54</v>
      </c>
      <c r="J10" s="7" t="s">
        <v>54</v>
      </c>
      <c r="K10" s="9" t="s">
        <v>43</v>
      </c>
      <c r="L10" s="9" t="s">
        <v>33</v>
      </c>
      <c r="M10" s="9" t="s">
        <v>45</v>
      </c>
    </row>
    <row r="11" spans="1:13" x14ac:dyDescent="0.25">
      <c r="A11" s="5" t="s">
        <v>6</v>
      </c>
      <c r="B11" s="8" t="s">
        <v>51</v>
      </c>
      <c r="C11" s="8" t="s">
        <v>51</v>
      </c>
      <c r="D11" s="8" t="s">
        <v>51</v>
      </c>
      <c r="E11" s="43" t="s">
        <v>51</v>
      </c>
      <c r="F11" s="43" t="s">
        <v>51</v>
      </c>
      <c r="G11" s="43" t="s">
        <v>51</v>
      </c>
      <c r="H11" s="7" t="s">
        <v>51</v>
      </c>
      <c r="I11" s="7" t="s">
        <v>51</v>
      </c>
      <c r="J11" s="7" t="s">
        <v>51</v>
      </c>
      <c r="K11" s="19" t="s">
        <v>28</v>
      </c>
      <c r="L11" s="9" t="s">
        <v>34</v>
      </c>
      <c r="M11" s="9" t="s">
        <v>46</v>
      </c>
    </row>
    <row r="12" spans="1:13" x14ac:dyDescent="0.25">
      <c r="A12" s="5" t="s">
        <v>7</v>
      </c>
      <c r="B12" s="8" t="s">
        <v>52</v>
      </c>
      <c r="C12" s="8" t="s">
        <v>52</v>
      </c>
      <c r="D12" s="8" t="s">
        <v>52</v>
      </c>
      <c r="E12" s="43" t="s">
        <v>52</v>
      </c>
      <c r="F12" s="43" t="s">
        <v>52</v>
      </c>
      <c r="G12" s="43" t="s">
        <v>52</v>
      </c>
      <c r="H12" s="7" t="s">
        <v>52</v>
      </c>
      <c r="I12" s="7" t="s">
        <v>52</v>
      </c>
      <c r="J12" s="7" t="s">
        <v>52</v>
      </c>
      <c r="K12" s="19" t="s">
        <v>28</v>
      </c>
      <c r="L12" s="9" t="s">
        <v>35</v>
      </c>
      <c r="M12" s="9" t="s">
        <v>67</v>
      </c>
    </row>
    <row r="13" spans="1:13" x14ac:dyDescent="0.25">
      <c r="A13" s="1"/>
      <c r="B13" s="26"/>
      <c r="E13" s="26"/>
      <c r="H13" s="26"/>
    </row>
    <row r="14" spans="1:13" x14ac:dyDescent="0.25">
      <c r="A14" s="1"/>
    </row>
    <row r="15" spans="1:13" x14ac:dyDescent="0.25">
      <c r="A15" s="14" t="s">
        <v>8</v>
      </c>
      <c r="B15" s="3"/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8">
        <v>1</v>
      </c>
      <c r="C16" s="8">
        <v>2</v>
      </c>
      <c r="D16" s="8">
        <v>3</v>
      </c>
      <c r="E16" s="43">
        <v>4</v>
      </c>
      <c r="F16" s="43">
        <v>5</v>
      </c>
      <c r="G16" s="43">
        <v>6</v>
      </c>
      <c r="H16" s="7">
        <v>7</v>
      </c>
      <c r="I16" s="7">
        <v>8</v>
      </c>
      <c r="J16" s="7">
        <v>9</v>
      </c>
      <c r="K16" s="9">
        <v>10</v>
      </c>
      <c r="L16" s="9">
        <v>11</v>
      </c>
      <c r="M16" s="9">
        <v>12</v>
      </c>
    </row>
    <row r="17" spans="1:13" x14ac:dyDescent="0.25">
      <c r="A17" s="5" t="s">
        <v>0</v>
      </c>
      <c r="B17" s="8">
        <v>0.88700000000000001</v>
      </c>
      <c r="C17" s="8">
        <v>0.70599999999999996</v>
      </c>
      <c r="D17" s="8">
        <v>0.71199999999999997</v>
      </c>
      <c r="E17" s="43">
        <v>0.61299999999999999</v>
      </c>
      <c r="F17" s="43">
        <v>0.74199999999999999</v>
      </c>
      <c r="G17" s="43">
        <v>0.58199999999999996</v>
      </c>
      <c r="H17" s="7">
        <v>0.68100000000000005</v>
      </c>
      <c r="I17" s="7">
        <v>0.64200000000000002</v>
      </c>
      <c r="J17" s="7">
        <v>0.70299999999999996</v>
      </c>
      <c r="K17" s="9">
        <v>7.9000000000000001E-2</v>
      </c>
      <c r="L17" s="9">
        <v>0.83499999999999996</v>
      </c>
      <c r="M17" s="9">
        <v>0.83</v>
      </c>
    </row>
    <row r="18" spans="1:13" x14ac:dyDescent="0.25">
      <c r="A18" s="5" t="s">
        <v>1</v>
      </c>
      <c r="B18" s="8">
        <v>0.73499999999999999</v>
      </c>
      <c r="C18" s="8">
        <v>0.77300000000000002</v>
      </c>
      <c r="D18" s="8">
        <v>0.77</v>
      </c>
      <c r="E18" s="43">
        <v>0.68200000000000005</v>
      </c>
      <c r="F18" s="43">
        <v>0.77900000000000003</v>
      </c>
      <c r="G18" s="43">
        <v>0.66400000000000003</v>
      </c>
      <c r="H18" s="7">
        <v>0.66100000000000003</v>
      </c>
      <c r="I18" s="7">
        <v>0.61799999999999999</v>
      </c>
      <c r="J18" s="7">
        <v>0.72899999999999998</v>
      </c>
      <c r="K18" s="9">
        <v>5.8000000000000003E-2</v>
      </c>
      <c r="L18" s="9">
        <v>0.755</v>
      </c>
      <c r="M18" s="9">
        <v>0.78</v>
      </c>
    </row>
    <row r="19" spans="1:13" x14ac:dyDescent="0.25">
      <c r="A19" s="5" t="s">
        <v>2</v>
      </c>
      <c r="B19" s="8">
        <v>0.66700000000000004</v>
      </c>
      <c r="C19" s="8">
        <v>0.755</v>
      </c>
      <c r="D19" s="8">
        <v>0.70399999999999996</v>
      </c>
      <c r="E19" s="43">
        <v>0.63700000000000001</v>
      </c>
      <c r="F19" s="43">
        <v>0.61199999999999999</v>
      </c>
      <c r="G19" s="43">
        <v>0.63600000000000001</v>
      </c>
      <c r="H19" s="7">
        <v>0.63300000000000001</v>
      </c>
      <c r="I19" s="7">
        <v>0.56599999999999995</v>
      </c>
      <c r="J19" s="7">
        <v>0.58899999999999997</v>
      </c>
      <c r="K19" s="9">
        <v>0.05</v>
      </c>
      <c r="L19" s="9">
        <v>0.64800000000000002</v>
      </c>
      <c r="M19" s="9">
        <v>0.68700000000000006</v>
      </c>
    </row>
    <row r="20" spans="1:13" x14ac:dyDescent="0.25">
      <c r="A20" s="5" t="s">
        <v>3</v>
      </c>
      <c r="B20" s="8">
        <v>0.65700000000000003</v>
      </c>
      <c r="C20" s="8">
        <v>0.73799999999999999</v>
      </c>
      <c r="D20" s="8">
        <v>0.70899999999999996</v>
      </c>
      <c r="E20" s="43">
        <v>0.61599999999999999</v>
      </c>
      <c r="F20" s="43">
        <v>0.63700000000000001</v>
      </c>
      <c r="G20" s="43">
        <v>0.60699999999999998</v>
      </c>
      <c r="H20" s="7">
        <v>0.54500000000000004</v>
      </c>
      <c r="I20" s="7">
        <v>0.51</v>
      </c>
      <c r="J20" s="7">
        <v>0.55400000000000005</v>
      </c>
      <c r="K20" s="9">
        <v>7.9000000000000001E-2</v>
      </c>
      <c r="L20" s="9">
        <v>0.49299999999999999</v>
      </c>
      <c r="M20" s="9">
        <v>0.61799999999999999</v>
      </c>
    </row>
    <row r="21" spans="1:13" x14ac:dyDescent="0.25">
      <c r="A21" s="5" t="s">
        <v>4</v>
      </c>
      <c r="B21" s="8">
        <v>0.71299999999999997</v>
      </c>
      <c r="C21" s="8">
        <v>0.77700000000000002</v>
      </c>
      <c r="D21" s="8">
        <v>0.66</v>
      </c>
      <c r="E21" s="43">
        <v>0.69299999999999995</v>
      </c>
      <c r="F21" s="43">
        <v>0.61799999999999999</v>
      </c>
      <c r="G21" s="43">
        <v>0.58899999999999997</v>
      </c>
      <c r="H21" s="7">
        <v>0.52200000000000002</v>
      </c>
      <c r="I21" s="7">
        <v>0.57799999999999996</v>
      </c>
      <c r="J21" s="7">
        <v>0.64700000000000002</v>
      </c>
      <c r="K21" s="9">
        <v>6.4000000000000001E-2</v>
      </c>
      <c r="L21" s="9">
        <v>0.436</v>
      </c>
      <c r="M21" s="9">
        <v>0.45500000000000002</v>
      </c>
    </row>
    <row r="22" spans="1:13" x14ac:dyDescent="0.25">
      <c r="A22" s="5" t="s">
        <v>5</v>
      </c>
      <c r="B22" s="8">
        <v>0.65500000000000003</v>
      </c>
      <c r="C22" s="8">
        <v>0.50600000000000001</v>
      </c>
      <c r="D22" s="8">
        <v>0.52600000000000002</v>
      </c>
      <c r="E22" s="43">
        <v>0.42299999999999999</v>
      </c>
      <c r="F22" s="43">
        <v>0.625</v>
      </c>
      <c r="G22" s="43">
        <v>0.53</v>
      </c>
      <c r="H22" s="7">
        <v>0.504</v>
      </c>
      <c r="I22" s="7">
        <v>0.45300000000000001</v>
      </c>
      <c r="J22" s="7">
        <v>0.55800000000000005</v>
      </c>
      <c r="K22" s="9">
        <v>0.05</v>
      </c>
      <c r="L22" s="9">
        <v>0.28899999999999998</v>
      </c>
      <c r="M22" s="9">
        <v>0.24</v>
      </c>
    </row>
    <row r="23" spans="1:13" x14ac:dyDescent="0.25">
      <c r="A23" s="5" t="s">
        <v>6</v>
      </c>
      <c r="B23" s="8">
        <v>0.70399999999999996</v>
      </c>
      <c r="C23" s="8">
        <v>0.68100000000000005</v>
      </c>
      <c r="D23" s="8">
        <v>0.78700000000000003</v>
      </c>
      <c r="E23" s="43">
        <v>0.60399999999999998</v>
      </c>
      <c r="F23" s="43">
        <v>0.65400000000000003</v>
      </c>
      <c r="G23" s="43">
        <v>0.78700000000000003</v>
      </c>
      <c r="H23" s="7">
        <v>0.67</v>
      </c>
      <c r="I23" s="7">
        <v>0.64500000000000002</v>
      </c>
      <c r="J23" s="7">
        <v>0.70299999999999996</v>
      </c>
      <c r="K23" s="19">
        <v>4.1000000000000002E-2</v>
      </c>
      <c r="L23" s="9">
        <v>0.19700000000000001</v>
      </c>
      <c r="M23" s="9">
        <v>0.17399999999999999</v>
      </c>
    </row>
    <row r="24" spans="1:13" x14ac:dyDescent="0.25">
      <c r="A24" s="5" t="s">
        <v>7</v>
      </c>
      <c r="B24" s="8">
        <v>0.51900000000000002</v>
      </c>
      <c r="C24" s="8">
        <v>0.57099999999999995</v>
      </c>
      <c r="D24" s="8">
        <v>0.52500000000000002</v>
      </c>
      <c r="E24" s="43">
        <v>0.48499999999999999</v>
      </c>
      <c r="F24" s="43">
        <v>0.38200000000000001</v>
      </c>
      <c r="G24" s="43">
        <v>0.4</v>
      </c>
      <c r="H24" s="7">
        <v>0.64700000000000002</v>
      </c>
      <c r="I24" s="7">
        <v>0.57699999999999996</v>
      </c>
      <c r="J24" s="7">
        <v>0.68200000000000005</v>
      </c>
      <c r="K24" s="19">
        <v>4.1000000000000002E-2</v>
      </c>
      <c r="L24" s="9">
        <v>0.112</v>
      </c>
      <c r="M24" s="9">
        <v>0.123</v>
      </c>
    </row>
    <row r="25" spans="1:13" x14ac:dyDescent="0.25">
      <c r="A25" s="10"/>
      <c r="B25" s="37"/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14" t="s">
        <v>9</v>
      </c>
      <c r="B26" s="35"/>
      <c r="C26" s="35"/>
      <c r="D26" s="35"/>
      <c r="E26" s="30"/>
      <c r="F26" s="30"/>
      <c r="G26" s="30"/>
      <c r="H26" s="30"/>
      <c r="I26" s="30"/>
      <c r="J26" s="30"/>
      <c r="K26" s="30"/>
      <c r="L26" s="30"/>
      <c r="M26" s="30"/>
    </row>
    <row r="27" spans="1:13" x14ac:dyDescent="0.25">
      <c r="A27" s="5"/>
      <c r="B27" s="8">
        <v>1</v>
      </c>
      <c r="C27" s="8">
        <v>2</v>
      </c>
      <c r="D27" s="8">
        <v>3</v>
      </c>
      <c r="E27" s="43">
        <v>4</v>
      </c>
      <c r="F27" s="43">
        <v>5</v>
      </c>
      <c r="G27" s="43">
        <v>6</v>
      </c>
      <c r="H27" s="7">
        <v>7</v>
      </c>
      <c r="I27" s="7">
        <v>8</v>
      </c>
      <c r="J27" s="7">
        <v>9</v>
      </c>
      <c r="K27" s="9">
        <v>10</v>
      </c>
      <c r="L27" s="9">
        <v>11</v>
      </c>
      <c r="M27" s="9">
        <v>12</v>
      </c>
    </row>
    <row r="28" spans="1:13" x14ac:dyDescent="0.25">
      <c r="A28" s="5" t="s">
        <v>0</v>
      </c>
      <c r="B28" s="8">
        <v>5.1999999999999998E-2</v>
      </c>
      <c r="C28" s="8">
        <v>7.8E-2</v>
      </c>
      <c r="D28" s="8">
        <v>4.9000000000000002E-2</v>
      </c>
      <c r="E28" s="43">
        <v>4.2999999999999997E-2</v>
      </c>
      <c r="F28" s="43">
        <v>3.7999999999999999E-2</v>
      </c>
      <c r="G28" s="43">
        <v>6.6000000000000003E-2</v>
      </c>
      <c r="H28" s="7">
        <v>4.8000000000000001E-2</v>
      </c>
      <c r="I28" s="7">
        <v>3.6999999999999998E-2</v>
      </c>
      <c r="J28" s="7">
        <v>4.1000000000000002E-2</v>
      </c>
      <c r="K28" s="9">
        <v>3.6999999999999998E-2</v>
      </c>
      <c r="L28" s="9">
        <v>3.7999999999999999E-2</v>
      </c>
      <c r="M28" s="9">
        <v>6.3E-2</v>
      </c>
    </row>
    <row r="29" spans="1:13" x14ac:dyDescent="0.25">
      <c r="A29" s="5" t="s">
        <v>1</v>
      </c>
      <c r="B29" s="8">
        <v>6.6000000000000003E-2</v>
      </c>
      <c r="C29" s="8">
        <v>6.3E-2</v>
      </c>
      <c r="D29" s="8">
        <v>4.2000000000000003E-2</v>
      </c>
      <c r="E29" s="43">
        <v>4.3999999999999997E-2</v>
      </c>
      <c r="F29" s="43">
        <v>3.7999999999999999E-2</v>
      </c>
      <c r="G29" s="43">
        <v>4.3999999999999997E-2</v>
      </c>
      <c r="H29" s="7">
        <v>4.4999999999999998E-2</v>
      </c>
      <c r="I29" s="7">
        <v>4.7E-2</v>
      </c>
      <c r="J29" s="7">
        <v>4.2999999999999997E-2</v>
      </c>
      <c r="K29" s="9">
        <v>3.6999999999999998E-2</v>
      </c>
      <c r="L29" s="9">
        <v>3.6999999999999998E-2</v>
      </c>
      <c r="M29" s="9">
        <v>4.3999999999999997E-2</v>
      </c>
    </row>
    <row r="30" spans="1:13" x14ac:dyDescent="0.25">
      <c r="A30" s="5" t="s">
        <v>2</v>
      </c>
      <c r="B30" s="8">
        <v>6.6000000000000003E-2</v>
      </c>
      <c r="C30" s="8">
        <v>5.5E-2</v>
      </c>
      <c r="D30" s="8">
        <v>3.7999999999999999E-2</v>
      </c>
      <c r="E30" s="43">
        <v>4.2000000000000003E-2</v>
      </c>
      <c r="F30" s="43">
        <v>4.1000000000000002E-2</v>
      </c>
      <c r="G30" s="43">
        <v>3.6999999999999998E-2</v>
      </c>
      <c r="H30" s="7">
        <v>3.7999999999999999E-2</v>
      </c>
      <c r="I30" s="7">
        <v>3.9E-2</v>
      </c>
      <c r="J30" s="7">
        <v>4.1000000000000002E-2</v>
      </c>
      <c r="K30" s="9">
        <v>3.5000000000000003E-2</v>
      </c>
      <c r="L30" s="9">
        <v>4.7E-2</v>
      </c>
      <c r="M30" s="9">
        <v>3.7999999999999999E-2</v>
      </c>
    </row>
    <row r="31" spans="1:13" x14ac:dyDescent="0.25">
      <c r="A31" s="5" t="s">
        <v>3</v>
      </c>
      <c r="B31" s="8">
        <v>6.2E-2</v>
      </c>
      <c r="C31" s="8">
        <v>5.2999999999999999E-2</v>
      </c>
      <c r="D31" s="8">
        <v>3.7999999999999999E-2</v>
      </c>
      <c r="E31" s="43">
        <v>3.9E-2</v>
      </c>
      <c r="F31" s="43">
        <v>4.1000000000000002E-2</v>
      </c>
      <c r="G31" s="43">
        <v>4.9000000000000002E-2</v>
      </c>
      <c r="H31" s="7">
        <v>3.6999999999999998E-2</v>
      </c>
      <c r="I31" s="7">
        <v>6.7000000000000004E-2</v>
      </c>
      <c r="J31" s="7">
        <v>4.1000000000000002E-2</v>
      </c>
      <c r="K31" s="9">
        <v>3.6999999999999998E-2</v>
      </c>
      <c r="L31" s="9">
        <v>6.5000000000000002E-2</v>
      </c>
      <c r="M31" s="9">
        <v>3.6999999999999998E-2</v>
      </c>
    </row>
    <row r="32" spans="1:13" x14ac:dyDescent="0.25">
      <c r="A32" s="5" t="s">
        <v>4</v>
      </c>
      <c r="B32" s="8">
        <v>4.2999999999999997E-2</v>
      </c>
      <c r="C32" s="8">
        <v>4.1000000000000002E-2</v>
      </c>
      <c r="D32" s="8">
        <v>3.9E-2</v>
      </c>
      <c r="E32" s="43">
        <v>3.9E-2</v>
      </c>
      <c r="F32" s="43">
        <v>4.9000000000000002E-2</v>
      </c>
      <c r="G32" s="43">
        <v>6.3E-2</v>
      </c>
      <c r="H32" s="7">
        <v>5.2999999999999999E-2</v>
      </c>
      <c r="I32" s="7">
        <v>5.8999999999999997E-2</v>
      </c>
      <c r="J32" s="7">
        <v>3.7999999999999999E-2</v>
      </c>
      <c r="K32" s="9">
        <v>4.2000000000000003E-2</v>
      </c>
      <c r="L32" s="9">
        <v>4.5999999999999999E-2</v>
      </c>
      <c r="M32" s="9">
        <v>0.04</v>
      </c>
    </row>
    <row r="33" spans="1:13" x14ac:dyDescent="0.25">
      <c r="A33" s="5" t="s">
        <v>5</v>
      </c>
      <c r="B33" s="8">
        <v>5.5E-2</v>
      </c>
      <c r="C33" s="8">
        <v>8.6999999999999994E-2</v>
      </c>
      <c r="D33" s="8">
        <v>6.7000000000000004E-2</v>
      </c>
      <c r="E33" s="43">
        <v>8.1000000000000003E-2</v>
      </c>
      <c r="F33" s="43">
        <v>3.7999999999999999E-2</v>
      </c>
      <c r="G33" s="43">
        <v>5.1999999999999998E-2</v>
      </c>
      <c r="H33" s="7">
        <v>4.8000000000000001E-2</v>
      </c>
      <c r="I33" s="7">
        <v>5.2999999999999999E-2</v>
      </c>
      <c r="J33" s="7">
        <v>0.05</v>
      </c>
      <c r="K33" s="9">
        <v>3.5999999999999997E-2</v>
      </c>
      <c r="L33" s="9">
        <v>4.1000000000000002E-2</v>
      </c>
      <c r="M33" s="9">
        <v>5.3999999999999999E-2</v>
      </c>
    </row>
    <row r="34" spans="1:13" x14ac:dyDescent="0.25">
      <c r="A34" s="5" t="s">
        <v>6</v>
      </c>
      <c r="B34" s="8">
        <v>9.1999999999999998E-2</v>
      </c>
      <c r="C34" s="8">
        <v>8.4000000000000005E-2</v>
      </c>
      <c r="D34" s="8">
        <v>0.04</v>
      </c>
      <c r="E34" s="43">
        <v>6.9000000000000006E-2</v>
      </c>
      <c r="F34" s="43">
        <v>5.0999999999999997E-2</v>
      </c>
      <c r="G34" s="43">
        <v>3.9E-2</v>
      </c>
      <c r="H34" s="7">
        <v>3.9E-2</v>
      </c>
      <c r="I34" s="7">
        <v>5.8000000000000003E-2</v>
      </c>
      <c r="J34" s="7">
        <v>4.9000000000000002E-2</v>
      </c>
      <c r="K34" s="19">
        <v>3.6999999999999998E-2</v>
      </c>
      <c r="L34" s="9">
        <v>3.6999999999999998E-2</v>
      </c>
      <c r="M34" s="9">
        <v>4.2999999999999997E-2</v>
      </c>
    </row>
    <row r="35" spans="1:13" x14ac:dyDescent="0.25">
      <c r="A35" s="5" t="s">
        <v>7</v>
      </c>
      <c r="B35" s="8">
        <v>6.5000000000000002E-2</v>
      </c>
      <c r="C35" s="8">
        <v>4.1000000000000002E-2</v>
      </c>
      <c r="D35" s="8">
        <v>0.04</v>
      </c>
      <c r="E35" s="43">
        <v>4.5999999999999999E-2</v>
      </c>
      <c r="F35" s="43">
        <v>5.6000000000000001E-2</v>
      </c>
      <c r="G35" s="43">
        <v>6.2E-2</v>
      </c>
      <c r="H35" s="7">
        <v>5.1999999999999998E-2</v>
      </c>
      <c r="I35" s="7">
        <v>8.7999999999999995E-2</v>
      </c>
      <c r="J35" s="7">
        <v>6.3E-2</v>
      </c>
      <c r="K35" s="19">
        <v>3.6999999999999998E-2</v>
      </c>
      <c r="L35" s="9">
        <v>3.6999999999999998E-2</v>
      </c>
      <c r="M35" s="9">
        <v>3.5999999999999997E-2</v>
      </c>
    </row>
    <row r="36" spans="1:13" x14ac:dyDescent="0.25">
      <c r="A36" s="10"/>
      <c r="B36" s="4"/>
      <c r="C36" s="4"/>
      <c r="D36" s="4"/>
      <c r="E36" s="11"/>
      <c r="F36" s="11"/>
      <c r="G36" s="11"/>
      <c r="H36" s="11"/>
      <c r="I36" s="11"/>
      <c r="J36" s="11"/>
      <c r="K36" s="11"/>
      <c r="L36" s="11"/>
      <c r="M36" s="11"/>
    </row>
    <row r="37" spans="1:13" x14ac:dyDescent="0.25">
      <c r="A37" s="14" t="s">
        <v>10</v>
      </c>
      <c r="B37" s="5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6"/>
      <c r="B38" s="8">
        <v>1</v>
      </c>
      <c r="C38" s="8">
        <v>2</v>
      </c>
      <c r="D38" s="8">
        <v>3</v>
      </c>
      <c r="E38" s="43">
        <v>4</v>
      </c>
      <c r="F38" s="43">
        <v>5</v>
      </c>
      <c r="G38" s="43">
        <v>6</v>
      </c>
      <c r="H38" s="7">
        <v>7</v>
      </c>
      <c r="I38" s="7">
        <v>8</v>
      </c>
      <c r="J38" s="7">
        <v>9</v>
      </c>
      <c r="K38" s="9">
        <v>10</v>
      </c>
      <c r="L38" s="9">
        <v>11</v>
      </c>
      <c r="M38" s="9">
        <v>12</v>
      </c>
    </row>
    <row r="39" spans="1:13" x14ac:dyDescent="0.25">
      <c r="A39" s="5" t="s">
        <v>0</v>
      </c>
      <c r="B39" s="21">
        <f>B17-B28</f>
        <v>0.83499999999999996</v>
      </c>
      <c r="C39" s="21">
        <f>C17-C28</f>
        <v>0.628</v>
      </c>
      <c r="D39" s="21">
        <f t="shared" ref="D39:M39" si="0">D17-D28</f>
        <v>0.66299999999999992</v>
      </c>
      <c r="E39" s="45">
        <f t="shared" si="0"/>
        <v>0.56999999999999995</v>
      </c>
      <c r="F39" s="45">
        <f t="shared" si="0"/>
        <v>0.70399999999999996</v>
      </c>
      <c r="G39" s="45">
        <f t="shared" si="0"/>
        <v>0.51600000000000001</v>
      </c>
      <c r="H39" s="20">
        <f t="shared" si="0"/>
        <v>0.63300000000000001</v>
      </c>
      <c r="I39" s="20">
        <f t="shared" si="0"/>
        <v>0.60499999999999998</v>
      </c>
      <c r="J39" s="20">
        <f t="shared" si="0"/>
        <v>0.66199999999999992</v>
      </c>
      <c r="K39" s="22">
        <f>K17-K28</f>
        <v>4.2000000000000003E-2</v>
      </c>
      <c r="L39" s="22">
        <f t="shared" si="0"/>
        <v>0.79699999999999993</v>
      </c>
      <c r="M39" s="22">
        <f t="shared" si="0"/>
        <v>0.7669999999999999</v>
      </c>
    </row>
    <row r="40" spans="1:13" x14ac:dyDescent="0.25">
      <c r="A40" s="5" t="s">
        <v>1</v>
      </c>
      <c r="B40" s="21">
        <f t="shared" ref="B40:M46" si="1">B18-B29</f>
        <v>0.66900000000000004</v>
      </c>
      <c r="C40" s="21">
        <f t="shared" si="1"/>
        <v>0.71</v>
      </c>
      <c r="D40" s="21">
        <f t="shared" si="1"/>
        <v>0.72799999999999998</v>
      </c>
      <c r="E40" s="45">
        <f t="shared" si="1"/>
        <v>0.63800000000000001</v>
      </c>
      <c r="F40" s="45">
        <f t="shared" si="1"/>
        <v>0.74099999999999999</v>
      </c>
      <c r="G40" s="45">
        <f t="shared" si="1"/>
        <v>0.62</v>
      </c>
      <c r="H40" s="20">
        <f t="shared" si="1"/>
        <v>0.61599999999999999</v>
      </c>
      <c r="I40" s="20">
        <f t="shared" si="1"/>
        <v>0.57099999999999995</v>
      </c>
      <c r="J40" s="20">
        <f t="shared" si="1"/>
        <v>0.68599999999999994</v>
      </c>
      <c r="K40" s="22">
        <f>K18-K29</f>
        <v>2.1000000000000005E-2</v>
      </c>
      <c r="L40" s="22">
        <f t="shared" si="1"/>
        <v>0.71799999999999997</v>
      </c>
      <c r="M40" s="22">
        <f t="shared" si="1"/>
        <v>0.73599999999999999</v>
      </c>
    </row>
    <row r="41" spans="1:13" x14ac:dyDescent="0.25">
      <c r="A41" s="5" t="s">
        <v>2</v>
      </c>
      <c r="B41" s="21">
        <f t="shared" si="1"/>
        <v>0.60099999999999998</v>
      </c>
      <c r="C41" s="21">
        <f t="shared" si="1"/>
        <v>0.7</v>
      </c>
      <c r="D41" s="21">
        <f t="shared" si="1"/>
        <v>0.66599999999999993</v>
      </c>
      <c r="E41" s="45">
        <f>E19-E30</f>
        <v>0.59499999999999997</v>
      </c>
      <c r="F41" s="45">
        <f t="shared" si="1"/>
        <v>0.57099999999999995</v>
      </c>
      <c r="G41" s="45">
        <f t="shared" si="1"/>
        <v>0.59899999999999998</v>
      </c>
      <c r="H41" s="20">
        <f t="shared" si="1"/>
        <v>0.59499999999999997</v>
      </c>
      <c r="I41" s="20">
        <f t="shared" si="1"/>
        <v>0.52699999999999991</v>
      </c>
      <c r="J41" s="20">
        <f>J19-J30</f>
        <v>0.54799999999999993</v>
      </c>
      <c r="K41" s="22">
        <f t="shared" si="1"/>
        <v>1.4999999999999999E-2</v>
      </c>
      <c r="L41" s="22">
        <f t="shared" si="1"/>
        <v>0.60099999999999998</v>
      </c>
      <c r="M41" s="22">
        <f t="shared" si="1"/>
        <v>0.64900000000000002</v>
      </c>
    </row>
    <row r="42" spans="1:13" x14ac:dyDescent="0.25">
      <c r="A42" s="5" t="s">
        <v>3</v>
      </c>
      <c r="B42" s="21">
        <f t="shared" si="1"/>
        <v>0.59499999999999997</v>
      </c>
      <c r="C42" s="21">
        <f t="shared" si="1"/>
        <v>0.68499999999999994</v>
      </c>
      <c r="D42" s="21">
        <f t="shared" si="1"/>
        <v>0.67099999999999993</v>
      </c>
      <c r="E42" s="45">
        <f t="shared" si="1"/>
        <v>0.57699999999999996</v>
      </c>
      <c r="F42" s="45">
        <f t="shared" si="1"/>
        <v>0.59599999999999997</v>
      </c>
      <c r="G42" s="45">
        <f t="shared" si="1"/>
        <v>0.55799999999999994</v>
      </c>
      <c r="H42" s="20">
        <f t="shared" si="1"/>
        <v>0.50800000000000001</v>
      </c>
      <c r="I42" s="20">
        <f t="shared" si="1"/>
        <v>0.443</v>
      </c>
      <c r="J42" s="20">
        <f t="shared" si="1"/>
        <v>0.51300000000000001</v>
      </c>
      <c r="K42" s="22">
        <f t="shared" si="1"/>
        <v>4.2000000000000003E-2</v>
      </c>
      <c r="L42" s="22">
        <f t="shared" si="1"/>
        <v>0.42799999999999999</v>
      </c>
      <c r="M42" s="22">
        <f t="shared" si="1"/>
        <v>0.58099999999999996</v>
      </c>
    </row>
    <row r="43" spans="1:13" x14ac:dyDescent="0.25">
      <c r="A43" s="5" t="s">
        <v>4</v>
      </c>
      <c r="B43" s="21">
        <f t="shared" si="1"/>
        <v>0.66999999999999993</v>
      </c>
      <c r="C43" s="21">
        <f>C21-C32</f>
        <v>0.73599999999999999</v>
      </c>
      <c r="D43" s="21">
        <f>D21-D32</f>
        <v>0.621</v>
      </c>
      <c r="E43" s="45">
        <f t="shared" si="1"/>
        <v>0.65399999999999991</v>
      </c>
      <c r="F43" s="45">
        <f t="shared" si="1"/>
        <v>0.56899999999999995</v>
      </c>
      <c r="G43" s="45">
        <f t="shared" si="1"/>
        <v>0.52600000000000002</v>
      </c>
      <c r="H43" s="20">
        <f t="shared" si="1"/>
        <v>0.46900000000000003</v>
      </c>
      <c r="I43" s="20">
        <f t="shared" si="1"/>
        <v>0.51899999999999991</v>
      </c>
      <c r="J43" s="20">
        <f t="shared" si="1"/>
        <v>0.60899999999999999</v>
      </c>
      <c r="K43" s="22">
        <f t="shared" si="1"/>
        <v>2.1999999999999999E-2</v>
      </c>
      <c r="L43" s="22">
        <f t="shared" si="1"/>
        <v>0.39</v>
      </c>
      <c r="M43" s="22">
        <f t="shared" si="1"/>
        <v>0.41500000000000004</v>
      </c>
    </row>
    <row r="44" spans="1:13" x14ac:dyDescent="0.25">
      <c r="A44" s="5" t="s">
        <v>5</v>
      </c>
      <c r="B44" s="21">
        <f t="shared" si="1"/>
        <v>0.6</v>
      </c>
      <c r="C44" s="21">
        <f>C22-C33</f>
        <v>0.41900000000000004</v>
      </c>
      <c r="D44" s="21">
        <f t="shared" si="1"/>
        <v>0.45900000000000002</v>
      </c>
      <c r="E44" s="45">
        <f t="shared" si="1"/>
        <v>0.34199999999999997</v>
      </c>
      <c r="F44" s="45">
        <f t="shared" si="1"/>
        <v>0.58699999999999997</v>
      </c>
      <c r="G44" s="45">
        <f t="shared" si="1"/>
        <v>0.47800000000000004</v>
      </c>
      <c r="H44" s="20">
        <f t="shared" si="1"/>
        <v>0.45600000000000002</v>
      </c>
      <c r="I44" s="20">
        <f t="shared" si="1"/>
        <v>0.4</v>
      </c>
      <c r="J44" s="20">
        <f>J22-J33</f>
        <v>0.50800000000000001</v>
      </c>
      <c r="K44" s="22">
        <f>K22-K33</f>
        <v>1.4000000000000005E-2</v>
      </c>
      <c r="L44" s="22">
        <f t="shared" si="1"/>
        <v>0.24799999999999997</v>
      </c>
      <c r="M44" s="22">
        <f t="shared" si="1"/>
        <v>0.186</v>
      </c>
    </row>
    <row r="45" spans="1:13" x14ac:dyDescent="0.25">
      <c r="A45" s="5" t="s">
        <v>6</v>
      </c>
      <c r="B45" s="21">
        <f t="shared" si="1"/>
        <v>0.61199999999999999</v>
      </c>
      <c r="C45" s="21">
        <f t="shared" si="1"/>
        <v>0.59700000000000009</v>
      </c>
      <c r="D45" s="21">
        <f t="shared" si="1"/>
        <v>0.747</v>
      </c>
      <c r="E45" s="45">
        <f t="shared" si="1"/>
        <v>0.53499999999999992</v>
      </c>
      <c r="F45" s="45">
        <f t="shared" si="1"/>
        <v>0.60299999999999998</v>
      </c>
      <c r="G45" s="45">
        <f t="shared" si="1"/>
        <v>0.748</v>
      </c>
      <c r="H45" s="20">
        <f t="shared" si="1"/>
        <v>0.63100000000000001</v>
      </c>
      <c r="I45" s="20">
        <f t="shared" si="1"/>
        <v>0.58699999999999997</v>
      </c>
      <c r="J45" s="20">
        <f t="shared" si="1"/>
        <v>0.65399999999999991</v>
      </c>
      <c r="K45" s="23">
        <f>K23-K34</f>
        <v>4.0000000000000036E-3</v>
      </c>
      <c r="L45" s="22">
        <f t="shared" si="1"/>
        <v>0.16</v>
      </c>
      <c r="M45" s="22">
        <f t="shared" si="1"/>
        <v>0.13100000000000001</v>
      </c>
    </row>
    <row r="46" spans="1:13" x14ac:dyDescent="0.25">
      <c r="A46" s="5" t="s">
        <v>7</v>
      </c>
      <c r="B46" s="21">
        <f t="shared" si="1"/>
        <v>0.45400000000000001</v>
      </c>
      <c r="C46" s="21">
        <f t="shared" si="1"/>
        <v>0.52999999999999992</v>
      </c>
      <c r="D46" s="21">
        <f t="shared" si="1"/>
        <v>0.48500000000000004</v>
      </c>
      <c r="E46" s="45">
        <f t="shared" si="1"/>
        <v>0.439</v>
      </c>
      <c r="F46" s="45">
        <f t="shared" si="1"/>
        <v>0.32600000000000001</v>
      </c>
      <c r="G46" s="45">
        <f>G24-G35</f>
        <v>0.33800000000000002</v>
      </c>
      <c r="H46" s="20">
        <f t="shared" si="1"/>
        <v>0.59499999999999997</v>
      </c>
      <c r="I46" s="20">
        <f t="shared" si="1"/>
        <v>0.48899999999999999</v>
      </c>
      <c r="J46" s="20">
        <f t="shared" si="1"/>
        <v>0.61899999999999999</v>
      </c>
      <c r="K46" s="23">
        <f t="shared" si="1"/>
        <v>4.0000000000000036E-3</v>
      </c>
      <c r="L46" s="22">
        <f t="shared" si="1"/>
        <v>7.5000000000000011E-2</v>
      </c>
      <c r="M46" s="22">
        <f t="shared" si="1"/>
        <v>8.6999999999999994E-2</v>
      </c>
    </row>
    <row r="47" spans="1:13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31">
        <f>AVERAGE(K45,K46)</f>
        <v>4.0000000000000036E-3</v>
      </c>
      <c r="L47" s="11"/>
      <c r="M47" s="11"/>
    </row>
    <row r="48" spans="1:13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24" t="s">
        <v>47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A51" s="6"/>
      <c r="B51" s="8">
        <v>1</v>
      </c>
      <c r="C51" s="8">
        <v>2</v>
      </c>
      <c r="D51" s="8">
        <v>3</v>
      </c>
      <c r="E51" s="43">
        <v>4</v>
      </c>
      <c r="F51" s="43">
        <v>5</v>
      </c>
      <c r="G51" s="43">
        <v>6</v>
      </c>
      <c r="H51" s="7">
        <v>7</v>
      </c>
      <c r="I51" s="7">
        <v>8</v>
      </c>
      <c r="J51" s="7">
        <v>9</v>
      </c>
      <c r="K51" s="9">
        <v>10</v>
      </c>
      <c r="L51" s="9">
        <v>11</v>
      </c>
      <c r="M51" s="9">
        <v>12</v>
      </c>
    </row>
    <row r="52" spans="1:13" x14ac:dyDescent="0.25">
      <c r="A52" s="5" t="s">
        <v>0</v>
      </c>
      <c r="B52" s="33">
        <f t="shared" ref="B52:M59" si="2">B39-$K$47</f>
        <v>0.83099999999999996</v>
      </c>
      <c r="C52" s="33">
        <f t="shared" si="2"/>
        <v>0.624</v>
      </c>
      <c r="D52" s="33">
        <f t="shared" si="2"/>
        <v>0.65899999999999992</v>
      </c>
      <c r="E52" s="46">
        <f t="shared" si="2"/>
        <v>0.56599999999999995</v>
      </c>
      <c r="F52" s="46">
        <f t="shared" si="2"/>
        <v>0.7</v>
      </c>
      <c r="G52" s="46">
        <f t="shared" si="2"/>
        <v>0.51200000000000001</v>
      </c>
      <c r="H52" s="32">
        <f t="shared" si="2"/>
        <v>0.629</v>
      </c>
      <c r="I52" s="32">
        <f>I39-$K$47</f>
        <v>0.60099999999999998</v>
      </c>
      <c r="J52" s="32">
        <f>J39-$K$47</f>
        <v>0.65799999999999992</v>
      </c>
      <c r="K52" s="34">
        <f>K39-$K$47</f>
        <v>3.7999999999999999E-2</v>
      </c>
      <c r="L52" s="34">
        <f>L39-$K$47</f>
        <v>0.79299999999999993</v>
      </c>
      <c r="M52" s="34">
        <f>M39-$K$47</f>
        <v>0.7629999999999999</v>
      </c>
    </row>
    <row r="53" spans="1:13" x14ac:dyDescent="0.25">
      <c r="A53" s="5" t="s">
        <v>1</v>
      </c>
      <c r="B53" s="33">
        <f t="shared" si="2"/>
        <v>0.66500000000000004</v>
      </c>
      <c r="C53" s="33">
        <f t="shared" si="2"/>
        <v>0.70599999999999996</v>
      </c>
      <c r="D53" s="33">
        <f t="shared" si="2"/>
        <v>0.72399999999999998</v>
      </c>
      <c r="E53" s="46">
        <f t="shared" si="2"/>
        <v>0.63400000000000001</v>
      </c>
      <c r="F53" s="46">
        <f t="shared" si="2"/>
        <v>0.73699999999999999</v>
      </c>
      <c r="G53" s="46">
        <f t="shared" si="2"/>
        <v>0.61599999999999999</v>
      </c>
      <c r="H53" s="32">
        <f t="shared" si="2"/>
        <v>0.61199999999999999</v>
      </c>
      <c r="I53" s="32">
        <f t="shared" si="2"/>
        <v>0.56699999999999995</v>
      </c>
      <c r="J53" s="32">
        <f t="shared" si="2"/>
        <v>0.68199999999999994</v>
      </c>
      <c r="K53" s="34">
        <f t="shared" si="2"/>
        <v>1.7000000000000001E-2</v>
      </c>
      <c r="L53" s="34">
        <f t="shared" si="2"/>
        <v>0.71399999999999997</v>
      </c>
      <c r="M53" s="34">
        <f t="shared" si="2"/>
        <v>0.73199999999999998</v>
      </c>
    </row>
    <row r="54" spans="1:13" x14ac:dyDescent="0.25">
      <c r="A54" s="5" t="s">
        <v>2</v>
      </c>
      <c r="B54" s="33">
        <f t="shared" si="2"/>
        <v>0.59699999999999998</v>
      </c>
      <c r="C54" s="33">
        <f t="shared" si="2"/>
        <v>0.69599999999999995</v>
      </c>
      <c r="D54" s="33">
        <f t="shared" si="2"/>
        <v>0.66199999999999992</v>
      </c>
      <c r="E54" s="46">
        <f t="shared" si="2"/>
        <v>0.59099999999999997</v>
      </c>
      <c r="F54" s="46">
        <f t="shared" si="2"/>
        <v>0.56699999999999995</v>
      </c>
      <c r="G54" s="46">
        <f t="shared" si="2"/>
        <v>0.59499999999999997</v>
      </c>
      <c r="H54" s="32">
        <f t="shared" si="2"/>
        <v>0.59099999999999997</v>
      </c>
      <c r="I54" s="32">
        <f>I41-$K$47</f>
        <v>0.52299999999999991</v>
      </c>
      <c r="J54" s="32">
        <f t="shared" si="2"/>
        <v>0.54399999999999993</v>
      </c>
      <c r="K54" s="34">
        <f t="shared" si="2"/>
        <v>1.0999999999999996E-2</v>
      </c>
      <c r="L54" s="34">
        <f t="shared" si="2"/>
        <v>0.59699999999999998</v>
      </c>
      <c r="M54" s="34">
        <f t="shared" si="2"/>
        <v>0.64500000000000002</v>
      </c>
    </row>
    <row r="55" spans="1:13" x14ac:dyDescent="0.25">
      <c r="A55" s="5" t="s">
        <v>3</v>
      </c>
      <c r="B55" s="33">
        <f t="shared" si="2"/>
        <v>0.59099999999999997</v>
      </c>
      <c r="C55" s="33">
        <f t="shared" si="2"/>
        <v>0.68099999999999994</v>
      </c>
      <c r="D55" s="33">
        <f t="shared" si="2"/>
        <v>0.66699999999999993</v>
      </c>
      <c r="E55" s="46">
        <f t="shared" si="2"/>
        <v>0.57299999999999995</v>
      </c>
      <c r="F55" s="46">
        <f t="shared" si="2"/>
        <v>0.59199999999999997</v>
      </c>
      <c r="G55" s="46">
        <f t="shared" si="2"/>
        <v>0.55399999999999994</v>
      </c>
      <c r="H55" s="32">
        <f t="shared" si="2"/>
        <v>0.504</v>
      </c>
      <c r="I55" s="32">
        <f>I42-$K$47</f>
        <v>0.439</v>
      </c>
      <c r="J55" s="32">
        <f t="shared" si="2"/>
        <v>0.50900000000000001</v>
      </c>
      <c r="K55" s="34">
        <f t="shared" si="2"/>
        <v>3.7999999999999999E-2</v>
      </c>
      <c r="L55" s="34">
        <f t="shared" si="2"/>
        <v>0.42399999999999999</v>
      </c>
      <c r="M55" s="34">
        <f t="shared" si="2"/>
        <v>0.57699999999999996</v>
      </c>
    </row>
    <row r="56" spans="1:13" x14ac:dyDescent="0.25">
      <c r="A56" s="5" t="s">
        <v>4</v>
      </c>
      <c r="B56" s="33">
        <f t="shared" si="2"/>
        <v>0.66599999999999993</v>
      </c>
      <c r="C56" s="33">
        <f t="shared" si="2"/>
        <v>0.73199999999999998</v>
      </c>
      <c r="D56" s="33">
        <f t="shared" si="2"/>
        <v>0.61699999999999999</v>
      </c>
      <c r="E56" s="46">
        <f t="shared" si="2"/>
        <v>0.64999999999999991</v>
      </c>
      <c r="F56" s="46">
        <f t="shared" si="2"/>
        <v>0.56499999999999995</v>
      </c>
      <c r="G56" s="46">
        <f t="shared" si="2"/>
        <v>0.52200000000000002</v>
      </c>
      <c r="H56" s="32">
        <f t="shared" si="2"/>
        <v>0.46500000000000002</v>
      </c>
      <c r="I56" s="32">
        <f t="shared" si="2"/>
        <v>0.5149999999999999</v>
      </c>
      <c r="J56" s="32">
        <f t="shared" si="2"/>
        <v>0.60499999999999998</v>
      </c>
      <c r="K56" s="34">
        <f t="shared" si="2"/>
        <v>1.7999999999999995E-2</v>
      </c>
      <c r="L56" s="34">
        <f t="shared" si="2"/>
        <v>0.38600000000000001</v>
      </c>
      <c r="M56" s="34">
        <f t="shared" si="2"/>
        <v>0.41100000000000003</v>
      </c>
    </row>
    <row r="57" spans="1:13" x14ac:dyDescent="0.25">
      <c r="A57" s="5" t="s">
        <v>5</v>
      </c>
      <c r="B57" s="33">
        <f t="shared" si="2"/>
        <v>0.59599999999999997</v>
      </c>
      <c r="C57" s="33">
        <f t="shared" si="2"/>
        <v>0.41500000000000004</v>
      </c>
      <c r="D57" s="33">
        <f t="shared" si="2"/>
        <v>0.45500000000000002</v>
      </c>
      <c r="E57" s="46">
        <f t="shared" si="2"/>
        <v>0.33799999999999997</v>
      </c>
      <c r="F57" s="46">
        <f t="shared" si="2"/>
        <v>0.58299999999999996</v>
      </c>
      <c r="G57" s="46">
        <f t="shared" si="2"/>
        <v>0.47400000000000003</v>
      </c>
      <c r="H57" s="32">
        <f t="shared" si="2"/>
        <v>0.45200000000000001</v>
      </c>
      <c r="I57" s="32">
        <f t="shared" si="2"/>
        <v>0.39600000000000002</v>
      </c>
      <c r="J57" s="32">
        <f t="shared" si="2"/>
        <v>0.504</v>
      </c>
      <c r="K57" s="34">
        <f t="shared" si="2"/>
        <v>1.0000000000000002E-2</v>
      </c>
      <c r="L57" s="34">
        <f t="shared" si="2"/>
        <v>0.24399999999999997</v>
      </c>
      <c r="M57" s="34">
        <f t="shared" si="2"/>
        <v>0.182</v>
      </c>
    </row>
    <row r="58" spans="1:13" x14ac:dyDescent="0.25">
      <c r="A58" s="5" t="s">
        <v>6</v>
      </c>
      <c r="B58" s="33">
        <f t="shared" si="2"/>
        <v>0.60799999999999998</v>
      </c>
      <c r="C58" s="33">
        <f t="shared" si="2"/>
        <v>0.59300000000000008</v>
      </c>
      <c r="D58" s="33">
        <f t="shared" si="2"/>
        <v>0.74299999999999999</v>
      </c>
      <c r="E58" s="46">
        <f t="shared" si="2"/>
        <v>0.53099999999999992</v>
      </c>
      <c r="F58" s="46">
        <f t="shared" si="2"/>
        <v>0.59899999999999998</v>
      </c>
      <c r="G58" s="46">
        <f t="shared" si="2"/>
        <v>0.74399999999999999</v>
      </c>
      <c r="H58" s="32">
        <f t="shared" si="2"/>
        <v>0.627</v>
      </c>
      <c r="I58" s="32">
        <f t="shared" si="2"/>
        <v>0.58299999999999996</v>
      </c>
      <c r="J58" s="32">
        <f t="shared" si="2"/>
        <v>0.64999999999999991</v>
      </c>
      <c r="K58" s="36">
        <f t="shared" si="2"/>
        <v>0</v>
      </c>
      <c r="L58" s="34">
        <f t="shared" si="2"/>
        <v>0.156</v>
      </c>
      <c r="M58" s="34">
        <f t="shared" si="2"/>
        <v>0.127</v>
      </c>
    </row>
    <row r="59" spans="1:13" x14ac:dyDescent="0.25">
      <c r="A59" s="5" t="s">
        <v>7</v>
      </c>
      <c r="B59" s="33">
        <f t="shared" si="2"/>
        <v>0.45</v>
      </c>
      <c r="C59" s="33">
        <f t="shared" si="2"/>
        <v>0.52599999999999991</v>
      </c>
      <c r="D59" s="33">
        <f t="shared" si="2"/>
        <v>0.48100000000000004</v>
      </c>
      <c r="E59" s="46">
        <f t="shared" si="2"/>
        <v>0.435</v>
      </c>
      <c r="F59" s="46">
        <f t="shared" si="2"/>
        <v>0.32200000000000001</v>
      </c>
      <c r="G59" s="46">
        <f t="shared" si="2"/>
        <v>0.33400000000000002</v>
      </c>
      <c r="H59" s="32">
        <f t="shared" si="2"/>
        <v>0.59099999999999997</v>
      </c>
      <c r="I59" s="32">
        <f t="shared" si="2"/>
        <v>0.48499999999999999</v>
      </c>
      <c r="J59" s="32">
        <f t="shared" si="2"/>
        <v>0.61499999999999999</v>
      </c>
      <c r="K59" s="36">
        <f t="shared" si="2"/>
        <v>0</v>
      </c>
      <c r="L59" s="34">
        <f t="shared" si="2"/>
        <v>7.1000000000000008E-2</v>
      </c>
      <c r="M59" s="34">
        <f t="shared" si="2"/>
        <v>8.299999999999999E-2</v>
      </c>
    </row>
    <row r="60" spans="1:13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25">
      <c r="A63" s="24" t="s">
        <v>50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A64" s="6"/>
      <c r="B64" s="8">
        <v>1</v>
      </c>
      <c r="C64" s="8">
        <v>2</v>
      </c>
      <c r="D64" s="8">
        <v>3</v>
      </c>
      <c r="E64" s="43">
        <v>4</v>
      </c>
      <c r="F64" s="43">
        <v>5</v>
      </c>
      <c r="G64" s="43">
        <v>6</v>
      </c>
      <c r="H64" s="7">
        <v>7</v>
      </c>
      <c r="I64" s="7">
        <v>8</v>
      </c>
      <c r="J64" s="7">
        <v>9</v>
      </c>
      <c r="K64" s="9">
        <v>10</v>
      </c>
      <c r="L64" s="9">
        <v>11</v>
      </c>
      <c r="M64" s="9">
        <v>12</v>
      </c>
    </row>
    <row r="65" spans="1:13" x14ac:dyDescent="0.25">
      <c r="A65" s="5" t="s">
        <v>0</v>
      </c>
      <c r="B65" s="84">
        <f>_xlfn.STDEV.S(B52:D52)</f>
        <v>0.11079861611650813</v>
      </c>
      <c r="C65" s="84"/>
      <c r="D65" s="84"/>
      <c r="E65" s="85">
        <f>_xlfn.STDEV.S(E52:G52)</f>
        <v>9.6795316691114922E-2</v>
      </c>
      <c r="F65" s="85"/>
      <c r="G65" s="85"/>
      <c r="H65" s="82">
        <f>_xlfn.STDEV.S(H52:J52)</f>
        <v>2.850146195080757E-2</v>
      </c>
      <c r="I65" s="82"/>
      <c r="J65" s="82"/>
      <c r="K65" s="27">
        <f>_xlfn.STDEV.S(K52,K55)</f>
        <v>0</v>
      </c>
      <c r="L65" s="83">
        <f>_xlfn.STDEV.S(L52:M52)</f>
        <v>2.1213203435596444E-2</v>
      </c>
      <c r="M65" s="83"/>
    </row>
    <row r="66" spans="1:13" x14ac:dyDescent="0.25">
      <c r="A66" s="5" t="s">
        <v>1</v>
      </c>
      <c r="B66" s="84">
        <f t="shared" ref="B66:B72" si="3">_xlfn.STDEV.S(B53:D53)</f>
        <v>3.0237945256470902E-2</v>
      </c>
      <c r="C66" s="84"/>
      <c r="D66" s="84"/>
      <c r="E66" s="85">
        <f t="shared" ref="E66:E72" si="4">_xlfn.STDEV.S(E53:G53)</f>
        <v>6.528654787422393E-2</v>
      </c>
      <c r="F66" s="85"/>
      <c r="G66" s="85"/>
      <c r="H66" s="82">
        <f t="shared" ref="H66:H72" si="5">_xlfn.STDEV.S(H53:J53)</f>
        <v>5.7951128835712358E-2</v>
      </c>
      <c r="I66" s="82"/>
      <c r="J66" s="82"/>
      <c r="K66" s="27">
        <f>_xlfn.STDEV.S(K53,K56)</f>
        <v>7.0710678118654328E-4</v>
      </c>
      <c r="L66" s="83">
        <f>_xlfn.STDEV.S(L53:M53)</f>
        <v>1.2727922061357866E-2</v>
      </c>
      <c r="M66" s="83"/>
    </row>
    <row r="67" spans="1:13" x14ac:dyDescent="0.25">
      <c r="A67" s="5" t="s">
        <v>2</v>
      </c>
      <c r="B67" s="84">
        <f t="shared" si="3"/>
        <v>5.030241876225567E-2</v>
      </c>
      <c r="C67" s="84"/>
      <c r="D67" s="84"/>
      <c r="E67" s="85">
        <f t="shared" si="4"/>
        <v>1.5143755588800743E-2</v>
      </c>
      <c r="F67" s="85"/>
      <c r="G67" s="85"/>
      <c r="H67" s="82">
        <f t="shared" si="5"/>
        <v>3.4818577416852278E-2</v>
      </c>
      <c r="I67" s="82"/>
      <c r="J67" s="82"/>
      <c r="K67" s="27">
        <f>_xlfn.STDEV.S(K54,K57)</f>
        <v>7.0710678118654328E-4</v>
      </c>
      <c r="L67" s="83">
        <f t="shared" ref="L67:L72" si="6">_xlfn.STDEV.S(L54:M54)</f>
        <v>3.3941125496954314E-2</v>
      </c>
      <c r="M67" s="83"/>
    </row>
    <row r="68" spans="1:13" x14ac:dyDescent="0.25">
      <c r="A68" s="5" t="s">
        <v>3</v>
      </c>
      <c r="B68" s="84">
        <f t="shared" si="3"/>
        <v>4.842864166310399E-2</v>
      </c>
      <c r="C68" s="84"/>
      <c r="D68" s="84"/>
      <c r="E68" s="85">
        <f t="shared" si="4"/>
        <v>1.9000000000000017E-2</v>
      </c>
      <c r="F68" s="85"/>
      <c r="G68" s="85"/>
      <c r="H68" s="82">
        <f t="shared" si="5"/>
        <v>3.9051248379533277E-2</v>
      </c>
      <c r="I68" s="82"/>
      <c r="J68" s="82"/>
      <c r="K68" s="27"/>
      <c r="L68" s="83">
        <f>_xlfn.STDEV.S(L55:M55)</f>
        <v>0.10818733752154232</v>
      </c>
      <c r="M68" s="83"/>
    </row>
    <row r="69" spans="1:13" x14ac:dyDescent="0.25">
      <c r="A69" s="5" t="s">
        <v>4</v>
      </c>
      <c r="B69" s="84">
        <f t="shared" si="3"/>
        <v>5.7709040308545533E-2</v>
      </c>
      <c r="C69" s="84"/>
      <c r="D69" s="84"/>
      <c r="E69" s="85">
        <f t="shared" si="4"/>
        <v>6.5138314377944984E-2</v>
      </c>
      <c r="F69" s="85"/>
      <c r="G69" s="85"/>
      <c r="H69" s="82">
        <f t="shared" si="5"/>
        <v>7.0945988845975874E-2</v>
      </c>
      <c r="I69" s="82"/>
      <c r="J69" s="82"/>
      <c r="K69" s="28"/>
      <c r="L69" s="83">
        <f t="shared" si="6"/>
        <v>1.7677669529663705E-2</v>
      </c>
      <c r="M69" s="83"/>
    </row>
    <row r="70" spans="1:13" x14ac:dyDescent="0.25">
      <c r="A70" s="5" t="s">
        <v>5</v>
      </c>
      <c r="B70" s="84">
        <f t="shared" si="3"/>
        <v>9.5080667505719904E-2</v>
      </c>
      <c r="C70" s="84"/>
      <c r="D70" s="84"/>
      <c r="E70" s="85">
        <f t="shared" si="4"/>
        <v>0.12274770873625299</v>
      </c>
      <c r="F70" s="85"/>
      <c r="G70" s="85"/>
      <c r="H70" s="82">
        <f t="shared" si="5"/>
        <v>5.4012344268077578E-2</v>
      </c>
      <c r="I70" s="82"/>
      <c r="J70" s="82"/>
      <c r="K70" s="28"/>
      <c r="L70" s="83">
        <f t="shared" si="6"/>
        <v>4.3840620433566187E-2</v>
      </c>
      <c r="M70" s="83"/>
    </row>
    <row r="71" spans="1:13" x14ac:dyDescent="0.25">
      <c r="A71" s="5" t="s">
        <v>6</v>
      </c>
      <c r="B71" s="84">
        <f t="shared" si="3"/>
        <v>8.2613558209292018E-2</v>
      </c>
      <c r="C71" s="84"/>
      <c r="D71" s="84"/>
      <c r="E71" s="85">
        <f t="shared" si="4"/>
        <v>0.10879491409681492</v>
      </c>
      <c r="F71" s="85"/>
      <c r="G71" s="85"/>
      <c r="H71" s="82">
        <f t="shared" si="5"/>
        <v>3.4044089061098383E-2</v>
      </c>
      <c r="I71" s="82"/>
      <c r="J71" s="82"/>
      <c r="K71" s="29"/>
      <c r="L71" s="83">
        <f t="shared" si="6"/>
        <v>2.0506096654409642E-2</v>
      </c>
      <c r="M71" s="83"/>
    </row>
    <row r="72" spans="1:13" x14ac:dyDescent="0.25">
      <c r="A72" s="5" t="s">
        <v>7</v>
      </c>
      <c r="B72" s="84">
        <f t="shared" si="3"/>
        <v>3.8214307966170591E-2</v>
      </c>
      <c r="C72" s="84"/>
      <c r="D72" s="84"/>
      <c r="E72" s="85">
        <f t="shared" si="4"/>
        <v>6.2067167917775772E-2</v>
      </c>
      <c r="F72" s="85"/>
      <c r="G72" s="85"/>
      <c r="H72" s="82">
        <f t="shared" si="5"/>
        <v>6.9176103773870734E-2</v>
      </c>
      <c r="I72" s="82"/>
      <c r="J72" s="82"/>
      <c r="K72" s="29"/>
      <c r="L72" s="83">
        <f t="shared" si="6"/>
        <v>8.4852813742385576E-3</v>
      </c>
      <c r="M72" s="83"/>
    </row>
  </sheetData>
  <mergeCells count="33">
    <mergeCell ref="A1:M1"/>
    <mergeCell ref="B65:D65"/>
    <mergeCell ref="B66:D66"/>
    <mergeCell ref="B67:D67"/>
    <mergeCell ref="B68:D68"/>
    <mergeCell ref="H65:J65"/>
    <mergeCell ref="L65:M65"/>
    <mergeCell ref="H66:J66"/>
    <mergeCell ref="H67:J67"/>
    <mergeCell ref="H68:J68"/>
    <mergeCell ref="B69:D69"/>
    <mergeCell ref="B70:D70"/>
    <mergeCell ref="B71:D71"/>
    <mergeCell ref="B72:D72"/>
    <mergeCell ref="E65:G65"/>
    <mergeCell ref="E66:G66"/>
    <mergeCell ref="E67:G67"/>
    <mergeCell ref="E68:G68"/>
    <mergeCell ref="E69:G69"/>
    <mergeCell ref="E70:G70"/>
    <mergeCell ref="E71:G71"/>
    <mergeCell ref="E72:G72"/>
    <mergeCell ref="H69:J69"/>
    <mergeCell ref="H70:J70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A19" sqref="A19"/>
    </sheetView>
  </sheetViews>
  <sheetFormatPr baseColWidth="10" defaultRowHeight="15" x14ac:dyDescent="0.25"/>
  <cols>
    <col min="1" max="1" width="21.42578125" customWidth="1"/>
    <col min="2" max="2" width="22.28515625" customWidth="1"/>
    <col min="6" max="6" width="16.85546875" customWidth="1"/>
  </cols>
  <sheetData>
    <row r="1" spans="1:13" x14ac:dyDescent="0.25">
      <c r="A1" s="87" t="e">
        <f>absorbances!#REF!</f>
        <v>#REF!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x14ac:dyDescent="0.25">
      <c r="A2" s="13" t="s">
        <v>14</v>
      </c>
      <c r="B2" s="13" t="s">
        <v>27</v>
      </c>
      <c r="F2" s="12" t="s">
        <v>15</v>
      </c>
    </row>
    <row r="3" spans="1:13" x14ac:dyDescent="0.25">
      <c r="A3">
        <f>AVERAGE(absorbances!L52:M52)</f>
        <v>0.77799999999999991</v>
      </c>
      <c r="B3">
        <v>50</v>
      </c>
      <c r="F3">
        <v>0.13919999999999999</v>
      </c>
      <c r="G3">
        <v>7.5601000000000003</v>
      </c>
    </row>
    <row r="4" spans="1:13" x14ac:dyDescent="0.25">
      <c r="A4">
        <f>AVERAGE(absorbances!L53:M53)</f>
        <v>0.72299999999999998</v>
      </c>
      <c r="B4">
        <f>B3/2</f>
        <v>25</v>
      </c>
    </row>
    <row r="5" spans="1:13" x14ac:dyDescent="0.25">
      <c r="A5">
        <f>AVERAGE(absorbances!L54:M54)</f>
        <v>0.621</v>
      </c>
      <c r="B5">
        <f t="shared" ref="B5:B13" si="0">B4/2</f>
        <v>12.5</v>
      </c>
      <c r="F5" s="12" t="s">
        <v>17</v>
      </c>
    </row>
    <row r="6" spans="1:13" x14ac:dyDescent="0.25">
      <c r="A6">
        <f>AVERAGE(absorbances!L55:M55)</f>
        <v>0.50049999999999994</v>
      </c>
      <c r="B6">
        <f>B5/2</f>
        <v>6.25</v>
      </c>
      <c r="F6">
        <f>275/15</f>
        <v>18.333333333333332</v>
      </c>
    </row>
    <row r="7" spans="1:13" x14ac:dyDescent="0.25">
      <c r="A7">
        <f>AVERAGE(absorbances!L56:M56)</f>
        <v>0.39850000000000002</v>
      </c>
      <c r="B7">
        <f t="shared" si="0"/>
        <v>3.125</v>
      </c>
      <c r="F7">
        <f>275/9</f>
        <v>30.555555555555557</v>
      </c>
    </row>
    <row r="8" spans="1:13" x14ac:dyDescent="0.25">
      <c r="A8">
        <f>AVERAGE(absorbances!L57:M57)</f>
        <v>0.21299999999999997</v>
      </c>
      <c r="B8">
        <f t="shared" si="0"/>
        <v>1.5625</v>
      </c>
      <c r="F8">
        <f>275/5</f>
        <v>55</v>
      </c>
    </row>
    <row r="9" spans="1:13" x14ac:dyDescent="0.25">
      <c r="A9">
        <f>AVERAGE(absorbances!L58:M58)</f>
        <v>0.14150000000000001</v>
      </c>
      <c r="B9">
        <f t="shared" si="0"/>
        <v>0.78125</v>
      </c>
    </row>
    <row r="10" spans="1:13" x14ac:dyDescent="0.25">
      <c r="A10">
        <f>AVERAGE(absorbances!L59:M59)</f>
        <v>7.6999999999999999E-2</v>
      </c>
      <c r="B10">
        <f t="shared" si="0"/>
        <v>0.390625</v>
      </c>
    </row>
    <row r="11" spans="1:13" x14ac:dyDescent="0.25">
      <c r="A11">
        <f>AVERAGE(absorbances!K52:K55)</f>
        <v>2.6000000000000002E-2</v>
      </c>
      <c r="B11">
        <f t="shared" si="0"/>
        <v>0.1953125</v>
      </c>
    </row>
    <row r="12" spans="1:13" x14ac:dyDescent="0.25">
      <c r="A12">
        <f>AVERAGE(absorbances!K53:K56)</f>
        <v>2.0999999999999998E-2</v>
      </c>
      <c r="B12">
        <f t="shared" si="0"/>
        <v>9.765625E-2</v>
      </c>
    </row>
    <row r="13" spans="1:13" x14ac:dyDescent="0.25">
      <c r="A13">
        <f>AVERAGE(absorbances!K54:K57)</f>
        <v>1.9249999999999996E-2</v>
      </c>
      <c r="B13">
        <f t="shared" si="0"/>
        <v>4.8828125E-2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1" sqref="E11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  <col min="6" max="6" width="22.85546875" customWidth="1"/>
    <col min="8" max="8" width="17.7109375" customWidth="1"/>
    <col min="10" max="10" width="23.5703125" customWidth="1"/>
    <col min="11" max="11" width="19.7109375" customWidth="1"/>
  </cols>
  <sheetData>
    <row r="1" spans="1:11" x14ac:dyDescent="0.25">
      <c r="A1" s="25" t="s">
        <v>20</v>
      </c>
      <c r="B1" s="25" t="s">
        <v>26</v>
      </c>
      <c r="C1" s="25" t="s">
        <v>21</v>
      </c>
      <c r="D1" s="25" t="s">
        <v>22</v>
      </c>
      <c r="E1" s="16" t="s">
        <v>23</v>
      </c>
      <c r="F1" s="16" t="s">
        <v>48</v>
      </c>
      <c r="H1" s="42" t="s">
        <v>55</v>
      </c>
      <c r="I1" s="42" t="s">
        <v>56</v>
      </c>
      <c r="J1" s="42" t="s">
        <v>57</v>
      </c>
      <c r="K1" s="42" t="s">
        <v>58</v>
      </c>
    </row>
    <row r="2" spans="1:11" x14ac:dyDescent="0.25">
      <c r="A2" s="53">
        <v>1</v>
      </c>
      <c r="B2" s="53" t="str">
        <f>absorbances!B5</f>
        <v>NCHA100079_FA-1</v>
      </c>
      <c r="C2" s="47">
        <v>1.1924999999999999</v>
      </c>
      <c r="D2" s="47">
        <v>1.2015</v>
      </c>
      <c r="E2" s="54">
        <f>D2-C2</f>
        <v>9.000000000000119E-3</v>
      </c>
      <c r="F2" s="55" t="str">
        <f>absorbances!$A$1</f>
        <v>PLAQUE TEST DILUTION</v>
      </c>
      <c r="G2" s="40"/>
      <c r="H2" s="56">
        <f>E2*1000</f>
        <v>9.000000000000119</v>
      </c>
      <c r="I2" s="56">
        <f>H2+60</f>
        <v>69.000000000000114</v>
      </c>
      <c r="J2" s="40">
        <f>I2/H2</f>
        <v>7.6666666666665781</v>
      </c>
      <c r="K2" s="40">
        <f>J2*courbe_etalon!$F$6</f>
        <v>140.55555555555392</v>
      </c>
    </row>
    <row r="3" spans="1:11" x14ac:dyDescent="0.25">
      <c r="A3" s="53">
        <f>A2+1</f>
        <v>2</v>
      </c>
      <c r="B3" s="53" t="str">
        <f>absorbances!B6</f>
        <v>NCHA100091_FA-1</v>
      </c>
      <c r="C3" s="47">
        <v>1.2202</v>
      </c>
      <c r="D3" s="47">
        <v>1.2262999999999999</v>
      </c>
      <c r="E3" s="54">
        <f t="shared" ref="E3:E9" si="0">D3-C3</f>
        <v>6.0999999999999943E-3</v>
      </c>
      <c r="F3" s="55" t="str">
        <f>absorbances!$A$1</f>
        <v>PLAQUE TEST DILUTION</v>
      </c>
      <c r="G3" s="40"/>
      <c r="H3" s="56">
        <f t="shared" ref="H3:H9" si="1">E3*1000</f>
        <v>6.0999999999999943</v>
      </c>
      <c r="I3" s="56">
        <f t="shared" ref="I3:I9" si="2">H3+60</f>
        <v>66.099999999999994</v>
      </c>
      <c r="J3" s="40">
        <f t="shared" ref="J3:J9" si="3">I3/H3</f>
        <v>10.836065573770501</v>
      </c>
      <c r="K3" s="40">
        <f>J3*courbe_etalon!$F$6</f>
        <v>198.66120218579252</v>
      </c>
    </row>
    <row r="4" spans="1:11" x14ac:dyDescent="0.25">
      <c r="A4" s="53">
        <f t="shared" ref="A4:A9" si="4">A3+1</f>
        <v>3</v>
      </c>
      <c r="B4" s="53" t="str">
        <f>absorbances!B7</f>
        <v>NCHA100096_FA-1</v>
      </c>
      <c r="C4" s="47">
        <v>1.1882999999999999</v>
      </c>
      <c r="D4" s="47">
        <v>1.2025999999999999</v>
      </c>
      <c r="E4" s="54">
        <f t="shared" si="0"/>
        <v>1.4299999999999979E-2</v>
      </c>
      <c r="F4" s="55" t="str">
        <f>absorbances!$A$1</f>
        <v>PLAQUE TEST DILUTION</v>
      </c>
      <c r="G4" s="40"/>
      <c r="H4" s="56">
        <f t="shared" si="1"/>
        <v>14.299999999999979</v>
      </c>
      <c r="I4" s="56">
        <f t="shared" si="2"/>
        <v>74.299999999999983</v>
      </c>
      <c r="J4" s="40">
        <f t="shared" si="3"/>
        <v>5.1958041958042021</v>
      </c>
      <c r="K4" s="40">
        <f>J4*courbe_etalon!$F$6</f>
        <v>95.256410256410362</v>
      </c>
    </row>
    <row r="5" spans="1:11" x14ac:dyDescent="0.25">
      <c r="A5" s="53">
        <f t="shared" si="4"/>
        <v>4</v>
      </c>
      <c r="B5" s="53" t="str">
        <f>absorbances!B8</f>
        <v>NCHA100099_FA-1</v>
      </c>
      <c r="C5" s="47">
        <v>1.2202999999999999</v>
      </c>
      <c r="D5" s="47">
        <v>1.2349000000000001</v>
      </c>
      <c r="E5" s="54">
        <f t="shared" si="0"/>
        <v>1.4600000000000168E-2</v>
      </c>
      <c r="F5" s="55" t="str">
        <f>absorbances!$A$1</f>
        <v>PLAQUE TEST DILUTION</v>
      </c>
      <c r="G5" s="40"/>
      <c r="H5" s="56">
        <f t="shared" si="1"/>
        <v>14.600000000000168</v>
      </c>
      <c r="I5" s="56">
        <f t="shared" si="2"/>
        <v>74.600000000000165</v>
      </c>
      <c r="J5" s="40">
        <f t="shared" si="3"/>
        <v>5.1095890410958429</v>
      </c>
      <c r="K5" s="40">
        <f>J5*courbe_etalon!$F$6</f>
        <v>93.67579908675711</v>
      </c>
    </row>
    <row r="6" spans="1:11" x14ac:dyDescent="0.25">
      <c r="A6" s="53">
        <f t="shared" si="4"/>
        <v>5</v>
      </c>
      <c r="B6" s="53" t="str">
        <f>absorbances!B9</f>
        <v>NCHA100245_FA-1</v>
      </c>
      <c r="C6" s="47">
        <v>1.2034</v>
      </c>
      <c r="D6" s="47">
        <v>1.2065999999999999</v>
      </c>
      <c r="E6" s="54">
        <f t="shared" si="0"/>
        <v>3.1999999999998696E-3</v>
      </c>
      <c r="F6" s="55" t="str">
        <f>absorbances!$A$1</f>
        <v>PLAQUE TEST DILUTION</v>
      </c>
      <c r="G6" s="40"/>
      <c r="H6" s="56">
        <f t="shared" si="1"/>
        <v>3.1999999999998696</v>
      </c>
      <c r="I6" s="56">
        <f t="shared" si="2"/>
        <v>63.199999999999868</v>
      </c>
      <c r="J6" s="40">
        <f t="shared" si="3"/>
        <v>19.750000000000764</v>
      </c>
      <c r="K6" s="40">
        <f>J6*courbe_etalon!$F$6</f>
        <v>362.0833333333473</v>
      </c>
    </row>
    <row r="7" spans="1:11" x14ac:dyDescent="0.25">
      <c r="A7" s="53">
        <f t="shared" si="4"/>
        <v>6</v>
      </c>
      <c r="B7" s="53" t="str">
        <f>absorbances!B10</f>
        <v>NCHA100246_FA-1</v>
      </c>
      <c r="C7" s="47">
        <v>1.202</v>
      </c>
      <c r="D7" s="47">
        <v>1.2045999999999999</v>
      </c>
      <c r="E7" s="54">
        <f t="shared" si="0"/>
        <v>2.5999999999999357E-3</v>
      </c>
      <c r="F7" s="55" t="str">
        <f>absorbances!$A$1</f>
        <v>PLAQUE TEST DILUTION</v>
      </c>
      <c r="G7" s="40"/>
      <c r="H7" s="56">
        <f t="shared" si="1"/>
        <v>2.5999999999999357</v>
      </c>
      <c r="I7" s="56">
        <f t="shared" si="2"/>
        <v>62.599999999999937</v>
      </c>
      <c r="J7" s="40">
        <f t="shared" si="3"/>
        <v>24.076923076923649</v>
      </c>
      <c r="K7" s="40">
        <f>J7*courbe_etalon!$F$6</f>
        <v>441.41025641026687</v>
      </c>
    </row>
    <row r="8" spans="1:11" x14ac:dyDescent="0.25">
      <c r="A8" s="53">
        <f t="shared" si="4"/>
        <v>7</v>
      </c>
      <c r="B8" s="53" t="str">
        <f>absorbances!B11</f>
        <v>NCHA100247_FA-1</v>
      </c>
      <c r="C8" s="47">
        <v>1.2039</v>
      </c>
      <c r="D8" s="47">
        <v>1.2144999999999999</v>
      </c>
      <c r="E8" s="54">
        <f t="shared" si="0"/>
        <v>1.0599999999999943E-2</v>
      </c>
      <c r="F8" s="55" t="str">
        <f>absorbances!$A$1</f>
        <v>PLAQUE TEST DILUTION</v>
      </c>
      <c r="G8" s="40"/>
      <c r="H8" s="56">
        <f t="shared" si="1"/>
        <v>10.599999999999943</v>
      </c>
      <c r="I8" s="56">
        <f t="shared" si="2"/>
        <v>70.599999999999937</v>
      </c>
      <c r="J8" s="40">
        <f t="shared" si="3"/>
        <v>6.6603773584905959</v>
      </c>
      <c r="K8" s="40">
        <f>J8*courbe_etalon!$F$6</f>
        <v>122.10691823899425</v>
      </c>
    </row>
    <row r="9" spans="1:11" x14ac:dyDescent="0.25">
      <c r="A9" s="53">
        <f t="shared" si="4"/>
        <v>8</v>
      </c>
      <c r="B9" s="53" t="str">
        <f>absorbances!B12</f>
        <v>NCHA100249_FA-1</v>
      </c>
      <c r="C9" s="47">
        <v>1.1879</v>
      </c>
      <c r="D9" s="47">
        <v>1.1957</v>
      </c>
      <c r="E9" s="54">
        <f t="shared" si="0"/>
        <v>7.8000000000000291E-3</v>
      </c>
      <c r="F9" s="55" t="str">
        <f>absorbances!$A$1</f>
        <v>PLAQUE TEST DILUTION</v>
      </c>
      <c r="G9" s="40"/>
      <c r="H9" s="56">
        <f t="shared" si="1"/>
        <v>7.8000000000000291</v>
      </c>
      <c r="I9" s="56">
        <f t="shared" si="2"/>
        <v>67.800000000000026</v>
      </c>
      <c r="J9" s="40">
        <f t="shared" si="3"/>
        <v>8.6923076923076632</v>
      </c>
      <c r="K9" s="40">
        <f>J9*courbe_etalon!$F$6</f>
        <v>159.35897435897382</v>
      </c>
    </row>
    <row r="10" spans="1:11" x14ac:dyDescent="0.25">
      <c r="A10" s="49">
        <v>1</v>
      </c>
      <c r="B10" s="49" t="str">
        <f>absorbances!B5</f>
        <v>NCHA100079_FA-1</v>
      </c>
      <c r="C10" s="48">
        <v>1.1924999999999999</v>
      </c>
      <c r="D10" s="48">
        <v>1.2015</v>
      </c>
      <c r="E10" s="50">
        <f>D10-C10</f>
        <v>9.000000000000119E-3</v>
      </c>
      <c r="F10" s="51" t="str">
        <f>absorbances!$A$1</f>
        <v>PLAQUE TEST DILUTION</v>
      </c>
      <c r="G10" s="44"/>
      <c r="H10" s="52">
        <f>E10*1000</f>
        <v>9.000000000000119</v>
      </c>
      <c r="I10" s="52">
        <f>H10+60</f>
        <v>69.000000000000114</v>
      </c>
      <c r="J10" s="44">
        <f>I10/H10</f>
        <v>7.6666666666665781</v>
      </c>
      <c r="K10" s="44">
        <f>J10*courbe_etalon!$F$7</f>
        <v>234.25925925925657</v>
      </c>
    </row>
    <row r="11" spans="1:11" x14ac:dyDescent="0.25">
      <c r="A11" s="49">
        <f>A10+1</f>
        <v>2</v>
      </c>
      <c r="B11" s="49" t="str">
        <f>absorbances!B6</f>
        <v>NCHA100091_FA-1</v>
      </c>
      <c r="C11" s="48">
        <v>1.2202</v>
      </c>
      <c r="D11" s="48">
        <v>1.2262999999999999</v>
      </c>
      <c r="E11" s="50">
        <f t="shared" ref="E11:E17" si="5">D11-C11</f>
        <v>6.0999999999999943E-3</v>
      </c>
      <c r="F11" s="51" t="str">
        <f>absorbances!$A$1</f>
        <v>PLAQUE TEST DILUTION</v>
      </c>
      <c r="G11" s="44"/>
      <c r="H11" s="52">
        <f t="shared" ref="H11:H17" si="6">E11*1000</f>
        <v>6.0999999999999943</v>
      </c>
      <c r="I11" s="52">
        <f t="shared" ref="I11:I17" si="7">H11+60</f>
        <v>66.099999999999994</v>
      </c>
      <c r="J11" s="44">
        <f t="shared" ref="J11:J17" si="8">I11/H11</f>
        <v>10.836065573770501</v>
      </c>
      <c r="K11" s="44">
        <f>J11*courbe_etalon!$F$7</f>
        <v>331.10200364298754</v>
      </c>
    </row>
    <row r="12" spans="1:11" x14ac:dyDescent="0.25">
      <c r="A12" s="49">
        <f t="shared" ref="A12:A17" si="9">A11+1</f>
        <v>3</v>
      </c>
      <c r="B12" s="49" t="str">
        <f>absorbances!B7</f>
        <v>NCHA100096_FA-1</v>
      </c>
      <c r="C12" s="48">
        <v>1.1882999999999999</v>
      </c>
      <c r="D12" s="48">
        <v>1.2025999999999999</v>
      </c>
      <c r="E12" s="50">
        <f t="shared" si="5"/>
        <v>1.4299999999999979E-2</v>
      </c>
      <c r="F12" s="51" t="str">
        <f>absorbances!$A$1</f>
        <v>PLAQUE TEST DILUTION</v>
      </c>
      <c r="G12" s="44"/>
      <c r="H12" s="52">
        <f t="shared" si="6"/>
        <v>14.299999999999979</v>
      </c>
      <c r="I12" s="52">
        <f t="shared" si="7"/>
        <v>74.299999999999983</v>
      </c>
      <c r="J12" s="44">
        <f t="shared" si="8"/>
        <v>5.1958041958042021</v>
      </c>
      <c r="K12" s="44">
        <f>J12*courbe_etalon!$F$7</f>
        <v>158.76068376068395</v>
      </c>
    </row>
    <row r="13" spans="1:11" x14ac:dyDescent="0.25">
      <c r="A13" s="49">
        <f t="shared" si="9"/>
        <v>4</v>
      </c>
      <c r="B13" s="49" t="str">
        <f>absorbances!B8</f>
        <v>NCHA100099_FA-1</v>
      </c>
      <c r="C13" s="48">
        <v>1.2202999999999999</v>
      </c>
      <c r="D13" s="48">
        <v>1.2349000000000001</v>
      </c>
      <c r="E13" s="50">
        <f t="shared" si="5"/>
        <v>1.4600000000000168E-2</v>
      </c>
      <c r="F13" s="51" t="str">
        <f>absorbances!$A$1</f>
        <v>PLAQUE TEST DILUTION</v>
      </c>
      <c r="G13" s="44"/>
      <c r="H13" s="52">
        <f t="shared" si="6"/>
        <v>14.600000000000168</v>
      </c>
      <c r="I13" s="52">
        <f t="shared" si="7"/>
        <v>74.600000000000165</v>
      </c>
      <c r="J13" s="44">
        <f t="shared" si="8"/>
        <v>5.1095890410958429</v>
      </c>
      <c r="K13" s="44">
        <f>J13*courbe_etalon!$F$7</f>
        <v>156.12633181126188</v>
      </c>
    </row>
    <row r="14" spans="1:11" x14ac:dyDescent="0.25">
      <c r="A14" s="49">
        <f t="shared" si="9"/>
        <v>5</v>
      </c>
      <c r="B14" s="49" t="str">
        <f>absorbances!B9</f>
        <v>NCHA100245_FA-1</v>
      </c>
      <c r="C14" s="48">
        <v>1.2034</v>
      </c>
      <c r="D14" s="48">
        <v>1.2065999999999999</v>
      </c>
      <c r="E14" s="50">
        <f t="shared" si="5"/>
        <v>3.1999999999998696E-3</v>
      </c>
      <c r="F14" s="51" t="str">
        <f>absorbances!$A$1</f>
        <v>PLAQUE TEST DILUTION</v>
      </c>
      <c r="G14" s="44"/>
      <c r="H14" s="52">
        <f t="shared" si="6"/>
        <v>3.1999999999998696</v>
      </c>
      <c r="I14" s="52">
        <f t="shared" si="7"/>
        <v>63.199999999999868</v>
      </c>
      <c r="J14" s="44">
        <f t="shared" si="8"/>
        <v>19.750000000000764</v>
      </c>
      <c r="K14" s="44">
        <f>J14*courbe_etalon!$F$7</f>
        <v>603.47222222224559</v>
      </c>
    </row>
    <row r="15" spans="1:11" x14ac:dyDescent="0.25">
      <c r="A15" s="49">
        <f t="shared" si="9"/>
        <v>6</v>
      </c>
      <c r="B15" s="49" t="str">
        <f>absorbances!B10</f>
        <v>NCHA100246_FA-1</v>
      </c>
      <c r="C15" s="48">
        <v>1.202</v>
      </c>
      <c r="D15" s="48">
        <v>1.2045999999999999</v>
      </c>
      <c r="E15" s="50">
        <f t="shared" si="5"/>
        <v>2.5999999999999357E-3</v>
      </c>
      <c r="F15" s="51" t="str">
        <f>absorbances!$A$1</f>
        <v>PLAQUE TEST DILUTION</v>
      </c>
      <c r="G15" s="44"/>
      <c r="H15" s="52">
        <f t="shared" si="6"/>
        <v>2.5999999999999357</v>
      </c>
      <c r="I15" s="52">
        <f t="shared" si="7"/>
        <v>62.599999999999937</v>
      </c>
      <c r="J15" s="44">
        <f t="shared" si="8"/>
        <v>24.076923076923649</v>
      </c>
      <c r="K15" s="44">
        <f>J15*courbe_etalon!$F$7</f>
        <v>735.68376068377825</v>
      </c>
    </row>
    <row r="16" spans="1:11" x14ac:dyDescent="0.25">
      <c r="A16" s="49">
        <f t="shared" si="9"/>
        <v>7</v>
      </c>
      <c r="B16" s="49" t="str">
        <f>absorbances!B11</f>
        <v>NCHA100247_FA-1</v>
      </c>
      <c r="C16" s="48">
        <v>1.2039</v>
      </c>
      <c r="D16" s="48">
        <v>1.2144999999999999</v>
      </c>
      <c r="E16" s="50">
        <f t="shared" si="5"/>
        <v>1.0599999999999943E-2</v>
      </c>
      <c r="F16" s="51" t="str">
        <f>absorbances!$A$1</f>
        <v>PLAQUE TEST DILUTION</v>
      </c>
      <c r="G16" s="44"/>
      <c r="H16" s="52">
        <f t="shared" si="6"/>
        <v>10.599999999999943</v>
      </c>
      <c r="I16" s="52">
        <f t="shared" si="7"/>
        <v>70.599999999999937</v>
      </c>
      <c r="J16" s="44">
        <f t="shared" si="8"/>
        <v>6.6603773584905959</v>
      </c>
      <c r="K16" s="44">
        <f>J16*courbe_etalon!$F$7</f>
        <v>203.51153039832377</v>
      </c>
    </row>
    <row r="17" spans="1:11" x14ac:dyDescent="0.25">
      <c r="A17" s="49">
        <f t="shared" si="9"/>
        <v>8</v>
      </c>
      <c r="B17" s="49" t="str">
        <f>absorbances!B12</f>
        <v>NCHA100249_FA-1</v>
      </c>
      <c r="C17" s="48">
        <v>1.1879</v>
      </c>
      <c r="D17" s="48">
        <v>1.1957</v>
      </c>
      <c r="E17" s="50">
        <f t="shared" si="5"/>
        <v>7.8000000000000291E-3</v>
      </c>
      <c r="F17" s="51" t="str">
        <f>absorbances!$A$1</f>
        <v>PLAQUE TEST DILUTION</v>
      </c>
      <c r="G17" s="44"/>
      <c r="H17" s="52">
        <f t="shared" si="6"/>
        <v>7.8000000000000291</v>
      </c>
      <c r="I17" s="52">
        <f t="shared" si="7"/>
        <v>67.800000000000026</v>
      </c>
      <c r="J17" s="44">
        <f t="shared" si="8"/>
        <v>8.6923076923076632</v>
      </c>
      <c r="K17" s="44">
        <f>J17*courbe_etalon!$F$7</f>
        <v>265.59829059828974</v>
      </c>
    </row>
    <row r="18" spans="1:11" x14ac:dyDescent="0.25">
      <c r="A18" s="57">
        <v>1</v>
      </c>
      <c r="B18" s="57" t="str">
        <f>absorbances!B5</f>
        <v>NCHA100079_FA-1</v>
      </c>
      <c r="C18" s="41">
        <v>1.1924999999999999</v>
      </c>
      <c r="D18" s="41">
        <v>1.2015</v>
      </c>
      <c r="E18" s="58">
        <f>D18-C18</f>
        <v>9.000000000000119E-3</v>
      </c>
      <c r="F18" s="59" t="str">
        <f>absorbances!$A$1</f>
        <v>PLAQUE TEST DILUTION</v>
      </c>
      <c r="G18" s="39"/>
      <c r="H18" s="60">
        <f>E18*1000</f>
        <v>9.000000000000119</v>
      </c>
      <c r="I18" s="60">
        <f>H18+60</f>
        <v>69.000000000000114</v>
      </c>
      <c r="J18" s="39">
        <f>I18/H18</f>
        <v>7.6666666666665781</v>
      </c>
      <c r="K18" s="39">
        <f>J18*courbe_etalon!$F$8</f>
        <v>421.6666666666618</v>
      </c>
    </row>
    <row r="19" spans="1:11" x14ac:dyDescent="0.25">
      <c r="A19" s="57">
        <f>A18+1</f>
        <v>2</v>
      </c>
      <c r="B19" s="57" t="str">
        <f>absorbances!B6</f>
        <v>NCHA100091_FA-1</v>
      </c>
      <c r="C19" s="41">
        <v>1.2202</v>
      </c>
      <c r="D19" s="41">
        <v>1.2262999999999999</v>
      </c>
      <c r="E19" s="58">
        <f t="shared" ref="E19:E25" si="10">D19-C19</f>
        <v>6.0999999999999943E-3</v>
      </c>
      <c r="F19" s="59" t="str">
        <f>absorbances!$A$1</f>
        <v>PLAQUE TEST DILUTION</v>
      </c>
      <c r="G19" s="39"/>
      <c r="H19" s="60">
        <f t="shared" ref="H19:H25" si="11">E19*1000</f>
        <v>6.0999999999999943</v>
      </c>
      <c r="I19" s="60">
        <f t="shared" ref="I19:I25" si="12">H19+60</f>
        <v>66.099999999999994</v>
      </c>
      <c r="J19" s="39">
        <f t="shared" ref="J19:J25" si="13">I19/H19</f>
        <v>10.836065573770501</v>
      </c>
      <c r="K19" s="39">
        <f>J19*courbe_etalon!$F$8</f>
        <v>595.98360655737758</v>
      </c>
    </row>
    <row r="20" spans="1:11" x14ac:dyDescent="0.25">
      <c r="A20" s="57">
        <f t="shared" ref="A20:A25" si="14">A19+1</f>
        <v>3</v>
      </c>
      <c r="B20" s="57" t="str">
        <f>absorbances!B7</f>
        <v>NCHA100096_FA-1</v>
      </c>
      <c r="C20" s="41">
        <v>1.1882999999999999</v>
      </c>
      <c r="D20" s="41">
        <v>1.2025999999999999</v>
      </c>
      <c r="E20" s="58">
        <f t="shared" si="10"/>
        <v>1.4299999999999979E-2</v>
      </c>
      <c r="F20" s="59" t="str">
        <f>absorbances!$A$1</f>
        <v>PLAQUE TEST DILUTION</v>
      </c>
      <c r="G20" s="39"/>
      <c r="H20" s="60">
        <f t="shared" si="11"/>
        <v>14.299999999999979</v>
      </c>
      <c r="I20" s="60">
        <f t="shared" si="12"/>
        <v>74.299999999999983</v>
      </c>
      <c r="J20" s="39">
        <f t="shared" si="13"/>
        <v>5.1958041958042021</v>
      </c>
      <c r="K20" s="39">
        <f>J20*courbe_etalon!$F$8</f>
        <v>285.76923076923111</v>
      </c>
    </row>
    <row r="21" spans="1:11" x14ac:dyDescent="0.25">
      <c r="A21" s="57">
        <f t="shared" si="14"/>
        <v>4</v>
      </c>
      <c r="B21" s="57" t="str">
        <f>absorbances!B8</f>
        <v>NCHA100099_FA-1</v>
      </c>
      <c r="C21" s="41">
        <v>1.2202999999999999</v>
      </c>
      <c r="D21" s="41">
        <v>1.2349000000000001</v>
      </c>
      <c r="E21" s="58">
        <f t="shared" si="10"/>
        <v>1.4600000000000168E-2</v>
      </c>
      <c r="F21" s="59" t="str">
        <f>absorbances!$A$1</f>
        <v>PLAQUE TEST DILUTION</v>
      </c>
      <c r="G21" s="39"/>
      <c r="H21" s="60">
        <f t="shared" si="11"/>
        <v>14.600000000000168</v>
      </c>
      <c r="I21" s="60">
        <f t="shared" si="12"/>
        <v>74.600000000000165</v>
      </c>
      <c r="J21" s="39">
        <f t="shared" si="13"/>
        <v>5.1095890410958429</v>
      </c>
      <c r="K21" s="39">
        <f>J21*courbe_etalon!$F$8</f>
        <v>281.02739726027136</v>
      </c>
    </row>
    <row r="22" spans="1:11" x14ac:dyDescent="0.25">
      <c r="A22" s="57">
        <f t="shared" si="14"/>
        <v>5</v>
      </c>
      <c r="B22" s="57" t="str">
        <f>absorbances!B9</f>
        <v>NCHA100245_FA-1</v>
      </c>
      <c r="C22" s="41">
        <v>1.2034</v>
      </c>
      <c r="D22" s="41">
        <v>1.2065999999999999</v>
      </c>
      <c r="E22" s="58">
        <f t="shared" si="10"/>
        <v>3.1999999999998696E-3</v>
      </c>
      <c r="F22" s="59" t="str">
        <f>absorbances!$A$1</f>
        <v>PLAQUE TEST DILUTION</v>
      </c>
      <c r="G22" s="39"/>
      <c r="H22" s="60">
        <f t="shared" si="11"/>
        <v>3.1999999999998696</v>
      </c>
      <c r="I22" s="60">
        <f t="shared" si="12"/>
        <v>63.199999999999868</v>
      </c>
      <c r="J22" s="39">
        <f t="shared" si="13"/>
        <v>19.750000000000764</v>
      </c>
      <c r="K22" s="39">
        <f>J22*courbe_etalon!$F$8</f>
        <v>1086.2500000000421</v>
      </c>
    </row>
    <row r="23" spans="1:11" x14ac:dyDescent="0.25">
      <c r="A23" s="57">
        <f t="shared" si="14"/>
        <v>6</v>
      </c>
      <c r="B23" s="57" t="str">
        <f>absorbances!B10</f>
        <v>NCHA100246_FA-1</v>
      </c>
      <c r="C23" s="41">
        <v>1.202</v>
      </c>
      <c r="D23" s="41">
        <v>1.2045999999999999</v>
      </c>
      <c r="E23" s="58">
        <f t="shared" si="10"/>
        <v>2.5999999999999357E-3</v>
      </c>
      <c r="F23" s="59" t="str">
        <f>absorbances!$A$1</f>
        <v>PLAQUE TEST DILUTION</v>
      </c>
      <c r="G23" s="39"/>
      <c r="H23" s="60">
        <f t="shared" si="11"/>
        <v>2.5999999999999357</v>
      </c>
      <c r="I23" s="60">
        <f t="shared" si="12"/>
        <v>62.599999999999937</v>
      </c>
      <c r="J23" s="39">
        <f t="shared" si="13"/>
        <v>24.076923076923649</v>
      </c>
      <c r="K23" s="39">
        <f>J23*courbe_etalon!$F$8</f>
        <v>1324.2307692308007</v>
      </c>
    </row>
    <row r="24" spans="1:11" x14ac:dyDescent="0.25">
      <c r="A24" s="57">
        <f t="shared" si="14"/>
        <v>7</v>
      </c>
      <c r="B24" s="57" t="str">
        <f>absorbances!B11</f>
        <v>NCHA100247_FA-1</v>
      </c>
      <c r="C24" s="41">
        <v>1.2039</v>
      </c>
      <c r="D24" s="41">
        <v>1.2144999999999999</v>
      </c>
      <c r="E24" s="58">
        <f t="shared" si="10"/>
        <v>1.0599999999999943E-2</v>
      </c>
      <c r="F24" s="59" t="str">
        <f>absorbances!$A$1</f>
        <v>PLAQUE TEST DILUTION</v>
      </c>
      <c r="G24" s="39"/>
      <c r="H24" s="60">
        <f t="shared" si="11"/>
        <v>10.599999999999943</v>
      </c>
      <c r="I24" s="60">
        <f t="shared" si="12"/>
        <v>70.599999999999937</v>
      </c>
      <c r="J24" s="39">
        <f t="shared" si="13"/>
        <v>6.6603773584905959</v>
      </c>
      <c r="K24" s="39">
        <f>J24*courbe_etalon!$F$8</f>
        <v>366.32075471698278</v>
      </c>
    </row>
    <row r="25" spans="1:11" x14ac:dyDescent="0.25">
      <c r="A25" s="57">
        <f t="shared" si="14"/>
        <v>8</v>
      </c>
      <c r="B25" s="57" t="str">
        <f>absorbances!B12</f>
        <v>NCHA100249_FA-1</v>
      </c>
      <c r="C25" s="41">
        <v>1.1879</v>
      </c>
      <c r="D25" s="41">
        <v>1.1957</v>
      </c>
      <c r="E25" s="58">
        <f t="shared" si="10"/>
        <v>7.8000000000000291E-3</v>
      </c>
      <c r="F25" s="59" t="str">
        <f>absorbances!$A$1</f>
        <v>PLAQUE TEST DILUTION</v>
      </c>
      <c r="G25" s="39"/>
      <c r="H25" s="60">
        <f t="shared" si="11"/>
        <v>7.8000000000000291</v>
      </c>
      <c r="I25" s="60">
        <f t="shared" si="12"/>
        <v>67.800000000000026</v>
      </c>
      <c r="J25" s="39">
        <f t="shared" si="13"/>
        <v>8.6923076923076632</v>
      </c>
      <c r="K25" s="39">
        <f>J25*courbe_etalon!$F$8</f>
        <v>478.0769230769215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zoomScale="85" zoomScaleNormal="85" workbookViewId="0">
      <pane ySplit="1" topLeftCell="A68" activePane="bottomLeft" state="frozen"/>
      <selection pane="bottomLeft" activeCell="F22" sqref="F22"/>
    </sheetView>
  </sheetViews>
  <sheetFormatPr baseColWidth="10" defaultColWidth="16.7109375" defaultRowHeight="15" x14ac:dyDescent="0.25"/>
  <cols>
    <col min="6" max="6" width="25.28515625" customWidth="1"/>
  </cols>
  <sheetData>
    <row r="1" spans="1:13" x14ac:dyDescent="0.25">
      <c r="A1" s="17" t="s">
        <v>26</v>
      </c>
      <c r="B1" s="17" t="s">
        <v>12</v>
      </c>
      <c r="C1" s="17" t="s">
        <v>13</v>
      </c>
      <c r="D1" s="17"/>
      <c r="E1" s="17" t="s">
        <v>16</v>
      </c>
      <c r="F1" s="17" t="s">
        <v>18</v>
      </c>
      <c r="G1" s="17" t="s">
        <v>19</v>
      </c>
      <c r="H1" s="18" t="s">
        <v>68</v>
      </c>
      <c r="I1" s="17" t="s">
        <v>24</v>
      </c>
      <c r="J1" s="17" t="s">
        <v>25</v>
      </c>
      <c r="K1" s="17" t="s">
        <v>49</v>
      </c>
      <c r="L1" s="17" t="s">
        <v>48</v>
      </c>
    </row>
    <row r="2" spans="1:13" x14ac:dyDescent="0.25">
      <c r="A2" s="62" t="str">
        <f>absorbances!B5</f>
        <v>NCHA100079_FA-1</v>
      </c>
      <c r="B2" s="62" t="str">
        <f>LEFT(A2,FIND("_",A2)-1)</f>
        <v>NCHA100079</v>
      </c>
      <c r="C2" s="62">
        <f>AVERAGE(absorbances!B52:D52)</f>
        <v>0.70466666666666666</v>
      </c>
      <c r="D2" s="62"/>
      <c r="E2" s="63">
        <f>courbe_etalon!$F$3*EXP((courbe_etalon!$G$3*quantification!C2))</f>
        <v>28.660129348168926</v>
      </c>
      <c r="F2" s="62">
        <f>E2*poids!K2</f>
        <v>4028.3404028259188</v>
      </c>
      <c r="G2" s="62">
        <f>F2/1000</f>
        <v>4.0283404028259184</v>
      </c>
      <c r="H2" s="62">
        <v>1</v>
      </c>
      <c r="I2" s="62">
        <f>G2*15/1000</f>
        <v>6.0425106042388779E-2</v>
      </c>
      <c r="J2" s="62">
        <f>I2/poids!E2</f>
        <v>6.7139006713764422</v>
      </c>
      <c r="K2" s="62">
        <f>J2*1000</f>
        <v>6713.900671376442</v>
      </c>
      <c r="L2" s="62" t="str">
        <f>poids!F2</f>
        <v>PLAQUE TEST DILUTION</v>
      </c>
    </row>
    <row r="3" spans="1:13" x14ac:dyDescent="0.25">
      <c r="A3" s="62" t="str">
        <f>absorbances!B6</f>
        <v>NCHA100091_FA-1</v>
      </c>
      <c r="B3" s="62" t="str">
        <f t="shared" ref="B3:B25" si="0">LEFT(A3,FIND("_",A3)-1)</f>
        <v>NCHA100091</v>
      </c>
      <c r="C3" s="62">
        <f>AVERAGE(absorbances!B53:D53)</f>
        <v>0.69833333333333325</v>
      </c>
      <c r="D3" s="62"/>
      <c r="E3" s="63">
        <f>courbe_etalon!$F$3*EXP((courbe_etalon!$G$3*quantification!C3))</f>
        <v>27.320198550158132</v>
      </c>
      <c r="F3" s="62">
        <f>E3*poids!K3</f>
        <v>5427.4634879289606</v>
      </c>
      <c r="G3" s="62">
        <f t="shared" ref="G3:G25" si="1">F3/1000</f>
        <v>5.4274634879289607</v>
      </c>
      <c r="H3" s="62">
        <v>1</v>
      </c>
      <c r="I3" s="62">
        <f>G3*15/1000</f>
        <v>8.1411952318934416E-2</v>
      </c>
      <c r="J3" s="62">
        <f>I3/poids!E3</f>
        <v>13.346221691628605</v>
      </c>
      <c r="K3" s="62">
        <f t="shared" ref="K3:K25" si="2">J3*1000</f>
        <v>13346.221691628605</v>
      </c>
      <c r="L3" s="62" t="str">
        <f>poids!F3</f>
        <v>PLAQUE TEST DILUTION</v>
      </c>
    </row>
    <row r="4" spans="1:13" x14ac:dyDescent="0.25">
      <c r="A4" s="62" t="str">
        <f>absorbances!B7</f>
        <v>NCHA100096_FA-1</v>
      </c>
      <c r="B4" s="62" t="str">
        <f t="shared" si="0"/>
        <v>NCHA100096</v>
      </c>
      <c r="C4" s="62">
        <f>AVERAGE(absorbances!B54:D54)</f>
        <v>0.65166666666666662</v>
      </c>
      <c r="D4" s="62"/>
      <c r="E4" s="63">
        <f>courbe_etalon!$F$3*EXP((courbe_etalon!$G$3*quantification!C4))</f>
        <v>19.198298121212673</v>
      </c>
      <c r="F4" s="62">
        <f>E4*poids!K4</f>
        <v>1828.7609620591068</v>
      </c>
      <c r="G4" s="62">
        <f t="shared" si="1"/>
        <v>1.8287609620591068</v>
      </c>
      <c r="H4" s="62">
        <v>1</v>
      </c>
      <c r="I4" s="62">
        <f>G4*15/1000</f>
        <v>2.7431414430886602E-2</v>
      </c>
      <c r="J4" s="62">
        <f>I4/poids!E4</f>
        <v>1.9182807294326323</v>
      </c>
      <c r="K4" s="62">
        <f t="shared" si="2"/>
        <v>1918.2807294326324</v>
      </c>
      <c r="L4" s="62" t="str">
        <f>poids!F4</f>
        <v>PLAQUE TEST DILUTION</v>
      </c>
    </row>
    <row r="5" spans="1:13" x14ac:dyDescent="0.25">
      <c r="A5" s="62" t="str">
        <f>absorbances!B8</f>
        <v>NCHA100099_FA-1</v>
      </c>
      <c r="B5" s="62" t="str">
        <f t="shared" si="0"/>
        <v>NCHA100099</v>
      </c>
      <c r="C5" s="62">
        <f>AVERAGE(absorbances!B55:D55)</f>
        <v>0.6463333333333332</v>
      </c>
      <c r="D5" s="62"/>
      <c r="E5" s="63">
        <f>courbe_etalon!$F$3*EXP((courbe_etalon!$G$3*quantification!C5))</f>
        <v>18.439610627340347</v>
      </c>
      <c r="F5" s="62">
        <f>E5*poids!K5</f>
        <v>1727.3452603647656</v>
      </c>
      <c r="G5" s="62">
        <f t="shared" si="1"/>
        <v>1.7273452603647657</v>
      </c>
      <c r="H5" s="62">
        <v>1</v>
      </c>
      <c r="I5" s="62">
        <f>G5*15/1000</f>
        <v>2.5910178905471485E-2</v>
      </c>
      <c r="J5" s="62">
        <f>I5/poids!E5</f>
        <v>1.7746697880459716</v>
      </c>
      <c r="K5" s="62">
        <f t="shared" si="2"/>
        <v>1774.6697880459717</v>
      </c>
      <c r="L5" s="62" t="str">
        <f>poids!F5</f>
        <v>PLAQUE TEST DILUTION</v>
      </c>
    </row>
    <row r="6" spans="1:13" x14ac:dyDescent="0.25">
      <c r="A6" s="62" t="str">
        <f>absorbances!B9</f>
        <v>NCHA100245_FA-1</v>
      </c>
      <c r="B6" s="62" t="str">
        <f t="shared" si="0"/>
        <v>NCHA100245</v>
      </c>
      <c r="C6" s="62">
        <f>AVERAGE(absorbances!B56:D56)</f>
        <v>0.67166666666666652</v>
      </c>
      <c r="D6" s="62"/>
      <c r="E6" s="63">
        <f>courbe_etalon!$F$3*EXP((courbe_etalon!$G$3*quantification!C6))</f>
        <v>22.332067177810579</v>
      </c>
      <c r="F6" s="62">
        <f>E6*poids!K6</f>
        <v>8086.0693239658922</v>
      </c>
      <c r="G6" s="62">
        <f t="shared" si="1"/>
        <v>8.0860693239658925</v>
      </c>
      <c r="H6" s="62">
        <v>1</v>
      </c>
      <c r="I6" s="62">
        <f>G6*15/1000</f>
        <v>0.12129103985948839</v>
      </c>
      <c r="J6" s="62">
        <f>I6/poids!E6</f>
        <v>37.903449956091663</v>
      </c>
      <c r="K6" s="62">
        <f t="shared" si="2"/>
        <v>37903.449956091659</v>
      </c>
      <c r="L6" s="62" t="str">
        <f>poids!F6</f>
        <v>PLAQUE TEST DILUTION</v>
      </c>
    </row>
    <row r="7" spans="1:13" x14ac:dyDescent="0.25">
      <c r="A7" s="62" t="str">
        <f>absorbances!B10</f>
        <v>NCHA100246_FA-1</v>
      </c>
      <c r="B7" s="62" t="str">
        <f t="shared" si="0"/>
        <v>NCHA100246</v>
      </c>
      <c r="C7" s="62">
        <f>AVERAGE(absorbances!B57:D57)</f>
        <v>0.48866666666666675</v>
      </c>
      <c r="D7" s="62"/>
      <c r="E7" s="63">
        <f>courbe_etalon!$F$3*EXP((courbe_etalon!$G$3*quantification!C7))</f>
        <v>5.5986490948926715</v>
      </c>
      <c r="F7" s="62">
        <f>E7*poids!K7</f>
        <v>2471.3011325276825</v>
      </c>
      <c r="G7" s="62">
        <f t="shared" si="1"/>
        <v>2.4713011325276826</v>
      </c>
      <c r="H7" s="62">
        <v>1</v>
      </c>
      <c r="I7" s="62">
        <f t="shared" ref="I7:I25" si="3">G7*15/1000</f>
        <v>3.7069516987915233E-2</v>
      </c>
      <c r="J7" s="62">
        <f>I7/poids!E7</f>
        <v>14.257506533813904</v>
      </c>
      <c r="K7" s="62">
        <f t="shared" si="2"/>
        <v>14257.506533813905</v>
      </c>
      <c r="L7" s="62" t="str">
        <f>poids!F7</f>
        <v>PLAQUE TEST DILUTION</v>
      </c>
    </row>
    <row r="8" spans="1:13" x14ac:dyDescent="0.25">
      <c r="A8" s="62" t="str">
        <f>absorbances!B11</f>
        <v>NCHA100247_FA-1</v>
      </c>
      <c r="B8" s="62" t="str">
        <f t="shared" si="0"/>
        <v>NCHA100247</v>
      </c>
      <c r="C8" s="62">
        <f>AVERAGE(absorbances!B58:D58)</f>
        <v>0.64800000000000002</v>
      </c>
      <c r="D8" s="62"/>
      <c r="E8" s="63">
        <f>courbe_etalon!$F$3*EXP((courbe_etalon!$G$3*quantification!C8))</f>
        <v>18.673422736879878</v>
      </c>
      <c r="F8" s="62">
        <f>E8*poids!K8</f>
        <v>2280.1541033743674</v>
      </c>
      <c r="G8" s="62">
        <f t="shared" si="1"/>
        <v>2.2801541033743673</v>
      </c>
      <c r="H8" s="62">
        <v>1</v>
      </c>
      <c r="I8" s="62">
        <f t="shared" si="3"/>
        <v>3.4202311550615511E-2</v>
      </c>
      <c r="J8" s="62">
        <f>I8/poids!E8</f>
        <v>3.2266331651524243</v>
      </c>
      <c r="K8" s="62">
        <f t="shared" si="2"/>
        <v>3226.6331651524242</v>
      </c>
      <c r="L8" s="62" t="str">
        <f>poids!F8</f>
        <v>PLAQUE TEST DILUTION</v>
      </c>
    </row>
    <row r="9" spans="1:13" x14ac:dyDescent="0.25">
      <c r="A9" s="62" t="str">
        <f>absorbances!B12</f>
        <v>NCHA100249_FA-1</v>
      </c>
      <c r="B9" s="62" t="str">
        <f t="shared" si="0"/>
        <v>NCHA100249</v>
      </c>
      <c r="C9" s="62">
        <f>AVERAGE(absorbances!B59:D59)</f>
        <v>0.48566666666666669</v>
      </c>
      <c r="D9" s="62"/>
      <c r="E9" s="63">
        <f>courbe_etalon!$F$3*EXP((courbe_etalon!$G$3*quantification!C9))</f>
        <v>5.4730991903932837</v>
      </c>
      <c r="F9" s="62">
        <f>E9*poids!K9</f>
        <v>872.18747354600373</v>
      </c>
      <c r="G9" s="62">
        <f t="shared" si="1"/>
        <v>0.87218747354600368</v>
      </c>
      <c r="H9" s="62">
        <v>1</v>
      </c>
      <c r="I9" s="62">
        <f t="shared" si="3"/>
        <v>1.3082812103190055E-2</v>
      </c>
      <c r="J9" s="62">
        <f>I9/poids!E9</f>
        <v>1.6772836029730778</v>
      </c>
      <c r="K9" s="62">
        <f t="shared" si="2"/>
        <v>1677.2836029730777</v>
      </c>
      <c r="L9" s="62" t="str">
        <f>poids!F9</f>
        <v>PLAQUE TEST DILUTION</v>
      </c>
    </row>
    <row r="10" spans="1:13" x14ac:dyDescent="0.25">
      <c r="A10" s="13" t="str">
        <f>absorbances!C5</f>
        <v>NCHA100079_FA-1</v>
      </c>
      <c r="B10" s="13" t="str">
        <f t="shared" si="0"/>
        <v>NCHA100079</v>
      </c>
      <c r="C10" s="13">
        <f>AVERAGE(absorbances!E52:G52)</f>
        <v>0.59266666666666667</v>
      </c>
      <c r="D10" s="13"/>
      <c r="E10" s="64">
        <f>courbe_etalon!$F$3*EXP((courbe_etalon!$G$3*quantification!C10))</f>
        <v>12.289874790202694</v>
      </c>
      <c r="F10" s="13">
        <f>E10*poids!K10</f>
        <v>2879.0169647418943</v>
      </c>
      <c r="G10" s="13">
        <f t="shared" si="1"/>
        <v>2.8790169647418944</v>
      </c>
      <c r="H10" s="13">
        <v>2</v>
      </c>
      <c r="I10" s="13">
        <f t="shared" si="3"/>
        <v>4.3185254471128413E-2</v>
      </c>
      <c r="J10" s="13">
        <f>I10/poids!E10</f>
        <v>4.798361607903094</v>
      </c>
      <c r="K10" s="13">
        <f t="shared" si="2"/>
        <v>4798.3616079030944</v>
      </c>
      <c r="L10" s="13" t="str">
        <f>poids!F10</f>
        <v>PLAQUE TEST DILUTION</v>
      </c>
      <c r="M10" s="61"/>
    </row>
    <row r="11" spans="1:13" x14ac:dyDescent="0.25">
      <c r="A11" s="13" t="str">
        <f>absorbances!C6</f>
        <v>NCHA100091_FA-1</v>
      </c>
      <c r="B11" s="13" t="str">
        <f t="shared" si="0"/>
        <v>NCHA100091</v>
      </c>
      <c r="C11" s="13">
        <f>AVERAGE(absorbances!E53:G53)</f>
        <v>0.66233333333333333</v>
      </c>
      <c r="D11" s="13"/>
      <c r="E11" s="64">
        <f>courbe_etalon!$F$3*EXP((courbe_etalon!$G$3*quantification!C11))</f>
        <v>20.810604785802749</v>
      </c>
      <c r="F11" s="13">
        <f>E11*poids!K11</f>
        <v>6890.4329416016353</v>
      </c>
      <c r="G11" s="13">
        <f t="shared" si="1"/>
        <v>6.8904329416016354</v>
      </c>
      <c r="H11" s="13">
        <v>2</v>
      </c>
      <c r="I11" s="13">
        <f t="shared" si="3"/>
        <v>0.10335649412402453</v>
      </c>
      <c r="J11" s="13">
        <f>I11/poids!E11</f>
        <v>16.943687561315514</v>
      </c>
      <c r="K11" s="13">
        <f t="shared" si="2"/>
        <v>16943.687561315513</v>
      </c>
      <c r="L11" s="13" t="str">
        <f>poids!F11</f>
        <v>PLAQUE TEST DILUTION</v>
      </c>
      <c r="M11" s="61"/>
    </row>
    <row r="12" spans="1:13" x14ac:dyDescent="0.25">
      <c r="A12" s="13" t="str">
        <f>absorbances!C7</f>
        <v>NCHA100096_FA-1</v>
      </c>
      <c r="B12" s="13" t="str">
        <f t="shared" si="0"/>
        <v>NCHA100096</v>
      </c>
      <c r="C12" s="13">
        <f>AVERAGE(absorbances!E54:G54)</f>
        <v>0.58433333333333326</v>
      </c>
      <c r="D12" s="13"/>
      <c r="E12" s="64">
        <f>courbe_etalon!$F$3*EXP((courbe_etalon!$G$3*quantification!C12))</f>
        <v>11.539488110473313</v>
      </c>
      <c r="F12" s="13">
        <f>E12*poids!K12</f>
        <v>1832.0170226670259</v>
      </c>
      <c r="G12" s="13">
        <f t="shared" si="1"/>
        <v>1.8320170226670258</v>
      </c>
      <c r="H12" s="13">
        <v>2</v>
      </c>
      <c r="I12" s="13">
        <f t="shared" si="3"/>
        <v>2.748025534000539E-2</v>
      </c>
      <c r="J12" s="13">
        <f>I12/poids!E12</f>
        <v>1.9216961776227572</v>
      </c>
      <c r="K12" s="13">
        <f t="shared" si="2"/>
        <v>1921.6961776227572</v>
      </c>
      <c r="L12" s="13" t="str">
        <f>poids!F12</f>
        <v>PLAQUE TEST DILUTION</v>
      </c>
      <c r="M12" s="61"/>
    </row>
    <row r="13" spans="1:13" x14ac:dyDescent="0.25">
      <c r="A13" s="13" t="str">
        <f>absorbances!C8</f>
        <v>NCHA100099_FA-1</v>
      </c>
      <c r="B13" s="13" t="str">
        <f t="shared" si="0"/>
        <v>NCHA100099</v>
      </c>
      <c r="C13" s="13">
        <f>AVERAGE(absorbances!E55:G55)</f>
        <v>0.57299999999999995</v>
      </c>
      <c r="D13" s="13"/>
      <c r="E13" s="64">
        <f>courbe_etalon!$F$3*EXP((courbe_etalon!$G$3*quantification!C13))</f>
        <v>10.591944601056502</v>
      </c>
      <c r="F13" s="13">
        <f>E13*poids!K13</f>
        <v>1653.6814573110512</v>
      </c>
      <c r="G13" s="13">
        <f t="shared" si="1"/>
        <v>1.6536814573110512</v>
      </c>
      <c r="H13" s="13">
        <v>2</v>
      </c>
      <c r="I13" s="13">
        <f t="shared" si="3"/>
        <v>2.4805221859665768E-2</v>
      </c>
      <c r="J13" s="13">
        <f>I13/poids!E13</f>
        <v>1.6989877986072248</v>
      </c>
      <c r="K13" s="13">
        <f t="shared" si="2"/>
        <v>1698.9877986072249</v>
      </c>
      <c r="L13" s="13" t="str">
        <f>poids!F13</f>
        <v>PLAQUE TEST DILUTION</v>
      </c>
      <c r="M13" s="61"/>
    </row>
    <row r="14" spans="1:13" x14ac:dyDescent="0.25">
      <c r="A14" s="13" t="str">
        <f>absorbances!C9</f>
        <v>NCHA100245_FA-1</v>
      </c>
      <c r="B14" s="13" t="str">
        <f t="shared" si="0"/>
        <v>NCHA100245</v>
      </c>
      <c r="C14" s="13">
        <f>AVERAGE(absorbances!E56:G56)</f>
        <v>0.57899999999999996</v>
      </c>
      <c r="D14" s="13"/>
      <c r="E14" s="64">
        <f>courbe_etalon!$F$3*EXP((courbe_etalon!$G$3*quantification!C14))</f>
        <v>11.08346512031925</v>
      </c>
      <c r="F14" s="13">
        <f>E14*poids!K14</f>
        <v>6688.5633260818067</v>
      </c>
      <c r="G14" s="13">
        <f t="shared" si="1"/>
        <v>6.6885633260818071</v>
      </c>
      <c r="H14" s="13">
        <v>2</v>
      </c>
      <c r="I14" s="13">
        <f t="shared" si="3"/>
        <v>0.10032844989122711</v>
      </c>
      <c r="J14" s="13">
        <f>I14/poids!E14</f>
        <v>31.352640591009749</v>
      </c>
      <c r="K14" s="13">
        <f t="shared" si="2"/>
        <v>31352.640591009749</v>
      </c>
      <c r="L14" s="13" t="str">
        <f>poids!F14</f>
        <v>PLAQUE TEST DILUTION</v>
      </c>
      <c r="M14" s="61"/>
    </row>
    <row r="15" spans="1:13" x14ac:dyDescent="0.25">
      <c r="A15" s="13" t="str">
        <f>absorbances!C10</f>
        <v>NCHA100246_FA-1</v>
      </c>
      <c r="B15" s="13" t="str">
        <f t="shared" si="0"/>
        <v>NCHA100246</v>
      </c>
      <c r="C15" s="13">
        <f>AVERAGE(absorbances!E57:G57)</f>
        <v>0.46500000000000002</v>
      </c>
      <c r="D15" s="13"/>
      <c r="E15" s="64">
        <f>courbe_etalon!$F$3*EXP((courbe_etalon!$G$3*quantification!C15))</f>
        <v>4.6814269575661438</v>
      </c>
      <c r="F15" s="13">
        <f>E15*poids!K15</f>
        <v>3444.0497895086792</v>
      </c>
      <c r="G15" s="13">
        <f t="shared" si="1"/>
        <v>3.444049789508679</v>
      </c>
      <c r="H15" s="13">
        <v>2</v>
      </c>
      <c r="I15" s="13">
        <f t="shared" si="3"/>
        <v>5.1660746842630181E-2</v>
      </c>
      <c r="J15" s="13">
        <f>I15/poids!E15</f>
        <v>19.869518016396714</v>
      </c>
      <c r="K15" s="13">
        <f t="shared" si="2"/>
        <v>19869.518016396716</v>
      </c>
      <c r="L15" s="13" t="str">
        <f>poids!F15</f>
        <v>PLAQUE TEST DILUTION</v>
      </c>
      <c r="M15" s="61"/>
    </row>
    <row r="16" spans="1:13" x14ac:dyDescent="0.25">
      <c r="A16" s="13" t="str">
        <f>absorbances!C11</f>
        <v>NCHA100247_FA-1</v>
      </c>
      <c r="B16" s="13" t="str">
        <f t="shared" si="0"/>
        <v>NCHA100247</v>
      </c>
      <c r="C16" s="13">
        <f>AVERAGE(absorbances!E58:G58)</f>
        <v>0.62466666666666659</v>
      </c>
      <c r="D16" s="13"/>
      <c r="E16" s="64">
        <f>courbe_etalon!$F$3*EXP((courbe_etalon!$G$3*quantification!C16))</f>
        <v>15.653568897941526</v>
      </c>
      <c r="F16" s="13">
        <f>E16*poids!K16</f>
        <v>3185.6817626156821</v>
      </c>
      <c r="G16" s="13">
        <f t="shared" si="1"/>
        <v>3.1856817626156824</v>
      </c>
      <c r="H16" s="13">
        <v>2</v>
      </c>
      <c r="I16" s="13">
        <f t="shared" si="3"/>
        <v>4.7785226439235239E-2</v>
      </c>
      <c r="J16" s="13">
        <f>I16/poids!E16</f>
        <v>4.5080402301165563</v>
      </c>
      <c r="K16" s="13">
        <f t="shared" si="2"/>
        <v>4508.0402301165559</v>
      </c>
      <c r="L16" s="13" t="str">
        <f>poids!F16</f>
        <v>PLAQUE TEST DILUTION</v>
      </c>
      <c r="M16" s="61"/>
    </row>
    <row r="17" spans="1:13" x14ac:dyDescent="0.25">
      <c r="A17" s="13" t="str">
        <f>absorbances!C12</f>
        <v>NCHA100249_FA-1</v>
      </c>
      <c r="B17" s="13" t="str">
        <f t="shared" si="0"/>
        <v>NCHA100249</v>
      </c>
      <c r="C17" s="13">
        <f>AVERAGE(absorbances!E59:G59)</f>
        <v>0.36366666666666664</v>
      </c>
      <c r="D17" s="13"/>
      <c r="E17" s="64">
        <f>courbe_etalon!$F$3*EXP((courbe_etalon!$G$3*quantification!C17))</f>
        <v>2.1760533269957767</v>
      </c>
      <c r="F17" s="13">
        <f>E17*poids!K17</f>
        <v>577.9560439007995</v>
      </c>
      <c r="G17" s="13">
        <f t="shared" si="1"/>
        <v>0.57795604390079947</v>
      </c>
      <c r="H17" s="13">
        <v>2</v>
      </c>
      <c r="I17" s="13">
        <f t="shared" si="3"/>
        <v>8.6693406585119908E-3</v>
      </c>
      <c r="J17" s="13">
        <f>I17/poids!E17</f>
        <v>1.1114539305784563</v>
      </c>
      <c r="K17" s="13">
        <f t="shared" si="2"/>
        <v>1111.4539305784563</v>
      </c>
      <c r="L17" s="13" t="str">
        <f>poids!F17</f>
        <v>PLAQUE TEST DILUTION</v>
      </c>
      <c r="M17" s="61"/>
    </row>
    <row r="18" spans="1:13" x14ac:dyDescent="0.25">
      <c r="A18" s="65" t="str">
        <f>absorbances!D5</f>
        <v>NCHA100079_FA-1</v>
      </c>
      <c r="B18" s="65" t="str">
        <f t="shared" si="0"/>
        <v>NCHA100079</v>
      </c>
      <c r="C18" s="65">
        <f>AVERAGE(absorbances!H52:J52)</f>
        <v>0.6293333333333333</v>
      </c>
      <c r="D18" s="65"/>
      <c r="E18" s="66">
        <f>courbe_etalon!$F$3*EXP((courbe_etalon!$G$3*quantification!C18))</f>
        <v>16.215691787068153</v>
      </c>
      <c r="F18" s="65">
        <f>E18*poids!K18</f>
        <v>6837.6167035469916</v>
      </c>
      <c r="G18" s="65">
        <f t="shared" si="1"/>
        <v>6.8376167035469919</v>
      </c>
      <c r="H18" s="65">
        <v>3</v>
      </c>
      <c r="I18" s="65">
        <f t="shared" si="3"/>
        <v>0.10256425055320488</v>
      </c>
      <c r="J18" s="65">
        <f>I18/poids!E18</f>
        <v>11.396027839244836</v>
      </c>
      <c r="K18" s="65">
        <f t="shared" si="2"/>
        <v>11396.027839244836</v>
      </c>
      <c r="L18" s="65" t="str">
        <f>poids!F18</f>
        <v>PLAQUE TEST DILUTION</v>
      </c>
    </row>
    <row r="19" spans="1:13" x14ac:dyDescent="0.25">
      <c r="A19" s="65" t="str">
        <f>absorbances!D6</f>
        <v>NCHA100091_FA-1</v>
      </c>
      <c r="B19" s="65" t="str">
        <f t="shared" si="0"/>
        <v>NCHA100091</v>
      </c>
      <c r="C19" s="65">
        <f>AVERAGE(absorbances!H53:J53)</f>
        <v>0.62033333333333329</v>
      </c>
      <c r="D19" s="65"/>
      <c r="E19" s="66">
        <f>courbe_etalon!$F$3*EXP((courbe_etalon!$G$3*quantification!C19))</f>
        <v>15.149060279132089</v>
      </c>
      <c r="F19" s="65">
        <f>E19*poids!K19</f>
        <v>9028.5915811122559</v>
      </c>
      <c r="G19" s="65">
        <f t="shared" si="1"/>
        <v>9.0285915811122557</v>
      </c>
      <c r="H19" s="65">
        <v>3</v>
      </c>
      <c r="I19" s="65">
        <f t="shared" si="3"/>
        <v>0.13542887371668383</v>
      </c>
      <c r="J19" s="65">
        <f>I19/poids!E19</f>
        <v>22.201454707653106</v>
      </c>
      <c r="K19" s="65">
        <f t="shared" si="2"/>
        <v>22201.454707653105</v>
      </c>
      <c r="L19" s="65" t="str">
        <f>poids!F19</f>
        <v>PLAQUE TEST DILUTION</v>
      </c>
    </row>
    <row r="20" spans="1:13" x14ac:dyDescent="0.25">
      <c r="A20" s="65" t="str">
        <f>absorbances!D7</f>
        <v>NCHA100096_FA-1</v>
      </c>
      <c r="B20" s="65" t="str">
        <f t="shared" si="0"/>
        <v>NCHA100096</v>
      </c>
      <c r="C20" s="65">
        <f>AVERAGE(absorbances!H54:J54)</f>
        <v>0.55266666666666664</v>
      </c>
      <c r="D20" s="65"/>
      <c r="E20" s="66">
        <f>courbe_etalon!$F$3*EXP((courbe_etalon!$G$3*quantification!C20))</f>
        <v>9.0827020921568806</v>
      </c>
      <c r="F20" s="65">
        <f>E20*poids!K20</f>
        <v>2595.5567901817581</v>
      </c>
      <c r="G20" s="65">
        <f t="shared" si="1"/>
        <v>2.595556790181758</v>
      </c>
      <c r="H20" s="65">
        <v>3</v>
      </c>
      <c r="I20" s="65">
        <f t="shared" si="3"/>
        <v>3.8933351852726367E-2</v>
      </c>
      <c r="J20" s="65">
        <f>I20/poids!E20</f>
        <v>2.7226120176731765</v>
      </c>
      <c r="K20" s="65">
        <f t="shared" si="2"/>
        <v>2722.6120176731765</v>
      </c>
      <c r="L20" s="65" t="str">
        <f>poids!F20</f>
        <v>PLAQUE TEST DILUTION</v>
      </c>
    </row>
    <row r="21" spans="1:13" x14ac:dyDescent="0.25">
      <c r="A21" s="65" t="str">
        <f>absorbances!D8</f>
        <v>NCHA100099_FA-1</v>
      </c>
      <c r="B21" s="65" t="str">
        <f t="shared" si="0"/>
        <v>NCHA100099</v>
      </c>
      <c r="C21" s="65">
        <f>AVERAGE(absorbances!H55:J55)</f>
        <v>0.48399999999999999</v>
      </c>
      <c r="D21" s="65"/>
      <c r="E21" s="66">
        <f>courbe_etalon!$F$3*EXP((courbe_etalon!$G$3*quantification!C21))</f>
        <v>5.4045698754703411</v>
      </c>
      <c r="F21" s="65">
        <f>E21*poids!K21</f>
        <v>1518.8322054146988</v>
      </c>
      <c r="G21" s="65">
        <f t="shared" si="1"/>
        <v>1.5188322054146988</v>
      </c>
      <c r="H21" s="65">
        <v>3</v>
      </c>
      <c r="I21" s="65">
        <f t="shared" si="3"/>
        <v>2.2782483081220481E-2</v>
      </c>
      <c r="J21" s="65">
        <f>I21/poids!E21</f>
        <v>1.5604440466589191</v>
      </c>
      <c r="K21" s="65">
        <f t="shared" si="2"/>
        <v>1560.4440466589192</v>
      </c>
      <c r="L21" s="65" t="str">
        <f>poids!F21</f>
        <v>PLAQUE TEST DILUTION</v>
      </c>
    </row>
    <row r="22" spans="1:13" x14ac:dyDescent="0.25">
      <c r="A22" s="65" t="str">
        <f>absorbances!D9</f>
        <v>NCHA100245_FA-1</v>
      </c>
      <c r="B22" s="65" t="str">
        <f t="shared" si="0"/>
        <v>NCHA100245</v>
      </c>
      <c r="C22" s="65">
        <f>AVERAGE(absorbances!H56:J56)</f>
        <v>0.52833333333333332</v>
      </c>
      <c r="D22" s="65"/>
      <c r="E22" s="66">
        <f>courbe_etalon!$F$3*EXP((courbe_etalon!$G$3*quantification!C22))</f>
        <v>7.5565089334769864</v>
      </c>
      <c r="F22" s="65">
        <f>E22*poids!K22</f>
        <v>8208.2578289896937</v>
      </c>
      <c r="G22" s="65">
        <f t="shared" si="1"/>
        <v>8.2082578289896944</v>
      </c>
      <c r="H22" s="65">
        <v>3</v>
      </c>
      <c r="I22" s="65">
        <f t="shared" si="3"/>
        <v>0.12312386743484541</v>
      </c>
      <c r="J22" s="65">
        <f>I22/poids!E22</f>
        <v>38.476208573390757</v>
      </c>
      <c r="K22" s="65">
        <f t="shared" si="2"/>
        <v>38476.208573390759</v>
      </c>
      <c r="L22" s="65" t="str">
        <f>poids!F22</f>
        <v>PLAQUE TEST DILUTION</v>
      </c>
    </row>
    <row r="23" spans="1:13" x14ac:dyDescent="0.25">
      <c r="A23" s="65" t="str">
        <f>absorbances!D10</f>
        <v>NCHA100246_FA-1</v>
      </c>
      <c r="B23" s="65" t="str">
        <f t="shared" si="0"/>
        <v>NCHA100246</v>
      </c>
      <c r="C23" s="65">
        <f>AVERAGE(absorbances!H57:J57)</f>
        <v>0.45066666666666672</v>
      </c>
      <c r="D23" s="65"/>
      <c r="E23" s="66">
        <f>courbe_etalon!$F$3*EXP((courbe_etalon!$G$3*quantification!C23))</f>
        <v>4.2006594950136105</v>
      </c>
      <c r="F23" s="65">
        <f>E23*poids!K23</f>
        <v>5562.6425543585401</v>
      </c>
      <c r="G23" s="65">
        <f t="shared" si="1"/>
        <v>5.5626425543585398</v>
      </c>
      <c r="H23" s="65">
        <v>3</v>
      </c>
      <c r="I23" s="65">
        <f t="shared" si="3"/>
        <v>8.3439638315378095E-2</v>
      </c>
      <c r="J23" s="65">
        <f>I23/poids!E23</f>
        <v>32.092168582838525</v>
      </c>
      <c r="K23" s="65">
        <f t="shared" si="2"/>
        <v>32092.168582838523</v>
      </c>
      <c r="L23" s="65" t="str">
        <f>poids!F23</f>
        <v>PLAQUE TEST DILUTION</v>
      </c>
    </row>
    <row r="24" spans="1:13" x14ac:dyDescent="0.25">
      <c r="A24" s="65" t="str">
        <f>absorbances!D11</f>
        <v>NCHA100247_FA-1</v>
      </c>
      <c r="B24" s="65" t="str">
        <f t="shared" si="0"/>
        <v>NCHA100247</v>
      </c>
      <c r="C24" s="65">
        <f>AVERAGE(absorbances!H58:J58)</f>
        <v>0.62</v>
      </c>
      <c r="D24" s="65"/>
      <c r="E24" s="66">
        <f>courbe_etalon!$F$3*EXP((courbe_etalon!$G$3*quantification!C24))</f>
        <v>15.110932204447485</v>
      </c>
      <c r="F24" s="65">
        <f>E24*poids!K24</f>
        <v>5535.4480896103632</v>
      </c>
      <c r="G24" s="65">
        <f t="shared" si="1"/>
        <v>5.5354480896103633</v>
      </c>
      <c r="H24" s="65">
        <v>3</v>
      </c>
      <c r="I24" s="65">
        <f t="shared" si="3"/>
        <v>8.3031721344155443E-2</v>
      </c>
      <c r="J24" s="65">
        <f>I24/poids!E24</f>
        <v>7.8331812588826315</v>
      </c>
      <c r="K24" s="65">
        <f t="shared" si="2"/>
        <v>7833.1812588826315</v>
      </c>
      <c r="L24" s="65" t="str">
        <f>poids!F24</f>
        <v>PLAQUE TEST DILUTION</v>
      </c>
    </row>
    <row r="25" spans="1:13" x14ac:dyDescent="0.25">
      <c r="A25" s="65" t="str">
        <f>absorbances!D12</f>
        <v>NCHA100249_FA-1</v>
      </c>
      <c r="B25" s="67" t="str">
        <f t="shared" si="0"/>
        <v>NCHA100249</v>
      </c>
      <c r="C25" s="65">
        <f>AVERAGE(absorbances!H59:J59)</f>
        <v>0.56366666666666665</v>
      </c>
      <c r="D25" s="67"/>
      <c r="E25" s="68">
        <f>courbe_etalon!$F$3*EXP((courbe_etalon!$G$3*quantification!C25))</f>
        <v>9.8703255390849183</v>
      </c>
      <c r="F25" s="65">
        <f>E25*poids!K25</f>
        <v>4718.7748634932741</v>
      </c>
      <c r="G25" s="67">
        <f t="shared" si="1"/>
        <v>4.718774863493274</v>
      </c>
      <c r="H25" s="65">
        <v>3</v>
      </c>
      <c r="I25" s="65">
        <f t="shared" si="3"/>
        <v>7.0781622952399106E-2</v>
      </c>
      <c r="J25" s="65">
        <f>I25/poids!E25</f>
        <v>9.0745670451793394</v>
      </c>
      <c r="K25" s="67">
        <f t="shared" si="2"/>
        <v>9074.5670451793394</v>
      </c>
      <c r="L25" s="65" t="str">
        <f>poids!F25</f>
        <v>PLAQUE TEST DILUTION</v>
      </c>
    </row>
    <row r="40" spans="1:4" x14ac:dyDescent="0.25">
      <c r="A40" s="70" t="s">
        <v>26</v>
      </c>
      <c r="B40" s="71" t="s">
        <v>68</v>
      </c>
      <c r="C40" s="17" t="s">
        <v>19</v>
      </c>
      <c r="D40" s="69" t="s">
        <v>69</v>
      </c>
    </row>
    <row r="41" spans="1:4" x14ac:dyDescent="0.25">
      <c r="A41" s="72" t="s">
        <v>60</v>
      </c>
      <c r="B41" s="73">
        <v>1</v>
      </c>
      <c r="C41" s="73">
        <v>4.0283404028259184</v>
      </c>
      <c r="D41" s="62">
        <f>AVERAGE(C41:C48)</f>
        <v>3.3402027683240871</v>
      </c>
    </row>
    <row r="42" spans="1:4" x14ac:dyDescent="0.25">
      <c r="A42" s="72" t="s">
        <v>63</v>
      </c>
      <c r="B42" s="73">
        <v>1</v>
      </c>
      <c r="C42" s="73">
        <v>5.4274634879289607</v>
      </c>
      <c r="D42" s="62"/>
    </row>
    <row r="43" spans="1:4" x14ac:dyDescent="0.25">
      <c r="A43" s="72" t="s">
        <v>64</v>
      </c>
      <c r="B43" s="73">
        <v>1</v>
      </c>
      <c r="C43" s="73">
        <v>1.8287609620591068</v>
      </c>
      <c r="D43" s="62"/>
    </row>
    <row r="44" spans="1:4" x14ac:dyDescent="0.25">
      <c r="A44" s="72" t="s">
        <v>65</v>
      </c>
      <c r="B44" s="73">
        <v>1</v>
      </c>
      <c r="C44" s="73">
        <v>1.7273452603647657</v>
      </c>
      <c r="D44" s="62"/>
    </row>
    <row r="45" spans="1:4" x14ac:dyDescent="0.25">
      <c r="A45" s="72" t="s">
        <v>53</v>
      </c>
      <c r="B45" s="73">
        <v>1</v>
      </c>
      <c r="C45" s="73">
        <v>8.0860693239658925</v>
      </c>
      <c r="D45" s="62"/>
    </row>
    <row r="46" spans="1:4" x14ac:dyDescent="0.25">
      <c r="A46" s="72" t="s">
        <v>54</v>
      </c>
      <c r="B46" s="73">
        <v>1</v>
      </c>
      <c r="C46" s="73">
        <v>2.4713011325276826</v>
      </c>
      <c r="D46" s="62"/>
    </row>
    <row r="47" spans="1:4" x14ac:dyDescent="0.25">
      <c r="A47" s="72" t="s">
        <v>51</v>
      </c>
      <c r="B47" s="73">
        <v>1</v>
      </c>
      <c r="C47" s="73">
        <v>2.2801541033743673</v>
      </c>
      <c r="D47" s="62"/>
    </row>
    <row r="48" spans="1:4" x14ac:dyDescent="0.25">
      <c r="A48" s="72" t="s">
        <v>52</v>
      </c>
      <c r="B48" s="73">
        <v>1</v>
      </c>
      <c r="C48" s="73">
        <v>0.87218747354600368</v>
      </c>
      <c r="D48" s="62"/>
    </row>
    <row r="49" spans="1:4" x14ac:dyDescent="0.25">
      <c r="A49" s="74" t="s">
        <v>60</v>
      </c>
      <c r="B49" s="75">
        <v>2</v>
      </c>
      <c r="C49" s="75">
        <v>2.8790169647418944</v>
      </c>
      <c r="D49" s="13">
        <f>AVERAGE(C49:C56)</f>
        <v>3.3939249135535716</v>
      </c>
    </row>
    <row r="50" spans="1:4" x14ac:dyDescent="0.25">
      <c r="A50" s="74" t="s">
        <v>63</v>
      </c>
      <c r="B50" s="75">
        <v>2</v>
      </c>
      <c r="C50" s="75">
        <v>6.8904329416016354</v>
      </c>
      <c r="D50" s="13"/>
    </row>
    <row r="51" spans="1:4" x14ac:dyDescent="0.25">
      <c r="A51" s="74" t="s">
        <v>64</v>
      </c>
      <c r="B51" s="75">
        <v>2</v>
      </c>
      <c r="C51" s="75">
        <v>1.8320170226670258</v>
      </c>
      <c r="D51" s="13"/>
    </row>
    <row r="52" spans="1:4" x14ac:dyDescent="0.25">
      <c r="A52" s="74" t="s">
        <v>65</v>
      </c>
      <c r="B52" s="75">
        <v>2</v>
      </c>
      <c r="C52" s="75">
        <v>1.6536814573110512</v>
      </c>
      <c r="D52" s="13"/>
    </row>
    <row r="53" spans="1:4" x14ac:dyDescent="0.25">
      <c r="A53" s="74" t="s">
        <v>53</v>
      </c>
      <c r="B53" s="75">
        <v>2</v>
      </c>
      <c r="C53" s="75">
        <v>6.6885633260818071</v>
      </c>
      <c r="D53" s="13"/>
    </row>
    <row r="54" spans="1:4" x14ac:dyDescent="0.25">
      <c r="A54" s="74" t="s">
        <v>54</v>
      </c>
      <c r="B54" s="75">
        <v>2</v>
      </c>
      <c r="C54" s="75">
        <v>3.444049789508679</v>
      </c>
      <c r="D54" s="13"/>
    </row>
    <row r="55" spans="1:4" x14ac:dyDescent="0.25">
      <c r="A55" s="74" t="s">
        <v>51</v>
      </c>
      <c r="B55" s="75">
        <v>2</v>
      </c>
      <c r="C55" s="75">
        <v>3.1856817626156824</v>
      </c>
      <c r="D55" s="13"/>
    </row>
    <row r="56" spans="1:4" x14ac:dyDescent="0.25">
      <c r="A56" s="74" t="s">
        <v>52</v>
      </c>
      <c r="B56" s="75">
        <v>2</v>
      </c>
      <c r="C56" s="75">
        <v>0.57795604390079947</v>
      </c>
      <c r="D56" s="13"/>
    </row>
    <row r="57" spans="1:4" x14ac:dyDescent="0.25">
      <c r="A57" s="76" t="s">
        <v>60</v>
      </c>
      <c r="B57" s="77">
        <v>3</v>
      </c>
      <c r="C57" s="77">
        <v>6.8376167035469919</v>
      </c>
      <c r="D57" s="65">
        <f>AVERAGE(C57:C64)</f>
        <v>5.5007150770884472</v>
      </c>
    </row>
    <row r="58" spans="1:4" x14ac:dyDescent="0.25">
      <c r="A58" s="76" t="s">
        <v>63</v>
      </c>
      <c r="B58" s="77">
        <v>3</v>
      </c>
      <c r="C58" s="77">
        <v>9.0285915811122557</v>
      </c>
      <c r="D58" s="65"/>
    </row>
    <row r="59" spans="1:4" x14ac:dyDescent="0.25">
      <c r="A59" s="76" t="s">
        <v>64</v>
      </c>
      <c r="B59" s="77">
        <v>3</v>
      </c>
      <c r="C59" s="77">
        <v>2.595556790181758</v>
      </c>
      <c r="D59" s="65"/>
    </row>
    <row r="60" spans="1:4" x14ac:dyDescent="0.25">
      <c r="A60" s="76" t="s">
        <v>65</v>
      </c>
      <c r="B60" s="77">
        <v>3</v>
      </c>
      <c r="C60" s="77">
        <v>1.5188322054146988</v>
      </c>
      <c r="D60" s="65"/>
    </row>
    <row r="61" spans="1:4" x14ac:dyDescent="0.25">
      <c r="A61" s="76" t="s">
        <v>53</v>
      </c>
      <c r="B61" s="77">
        <v>3</v>
      </c>
      <c r="C61" s="77">
        <v>8.2082578289896944</v>
      </c>
      <c r="D61" s="65"/>
    </row>
    <row r="62" spans="1:4" x14ac:dyDescent="0.25">
      <c r="A62" s="76" t="s">
        <v>54</v>
      </c>
      <c r="B62" s="77">
        <v>3</v>
      </c>
      <c r="C62" s="77">
        <v>5.5626425543585398</v>
      </c>
      <c r="D62" s="65"/>
    </row>
    <row r="63" spans="1:4" x14ac:dyDescent="0.25">
      <c r="A63" s="76" t="s">
        <v>51</v>
      </c>
      <c r="B63" s="77">
        <v>3</v>
      </c>
      <c r="C63" s="77">
        <v>5.5354480896103633</v>
      </c>
      <c r="D63" s="65"/>
    </row>
    <row r="64" spans="1:4" x14ac:dyDescent="0.25">
      <c r="A64" s="76" t="s">
        <v>52</v>
      </c>
      <c r="B64" s="77">
        <v>3</v>
      </c>
      <c r="C64" s="77">
        <v>4.718774863493274</v>
      </c>
      <c r="D64" s="65"/>
    </row>
    <row r="76" spans="1:4" x14ac:dyDescent="0.25">
      <c r="A76" s="78" t="s">
        <v>70</v>
      </c>
      <c r="B76" s="78" t="s">
        <v>71</v>
      </c>
      <c r="C76" s="78" t="s">
        <v>72</v>
      </c>
      <c r="D76" s="78" t="s">
        <v>12</v>
      </c>
    </row>
    <row r="77" spans="1:4" x14ac:dyDescent="0.25">
      <c r="A77" s="40">
        <v>0.70466666666666666</v>
      </c>
      <c r="B77" s="44">
        <v>0.59266666666666667</v>
      </c>
      <c r="C77" s="39">
        <v>0.6293333333333333</v>
      </c>
      <c r="D77" s="40" t="s">
        <v>73</v>
      </c>
    </row>
    <row r="78" spans="1:4" x14ac:dyDescent="0.25">
      <c r="A78" s="40">
        <v>0.69833333333333325</v>
      </c>
      <c r="B78" s="44">
        <v>0.66233333333333333</v>
      </c>
      <c r="C78" s="39">
        <v>0.62033333333333329</v>
      </c>
      <c r="D78" s="40" t="s">
        <v>74</v>
      </c>
    </row>
    <row r="79" spans="1:4" x14ac:dyDescent="0.25">
      <c r="A79" s="40">
        <v>0.65166666666666662</v>
      </c>
      <c r="B79" s="44">
        <v>0.58433333333333326</v>
      </c>
      <c r="C79" s="39">
        <v>0.55266666666666664</v>
      </c>
      <c r="D79" s="40" t="s">
        <v>75</v>
      </c>
    </row>
    <row r="80" spans="1:4" x14ac:dyDescent="0.25">
      <c r="A80" s="40">
        <v>0.6463333333333332</v>
      </c>
      <c r="B80" s="44">
        <v>0.57299999999999995</v>
      </c>
      <c r="C80" s="39">
        <v>0.48399999999999999</v>
      </c>
      <c r="D80" s="40" t="s">
        <v>76</v>
      </c>
    </row>
    <row r="81" spans="1:4" x14ac:dyDescent="0.25">
      <c r="A81" s="40">
        <v>0.67166666666666652</v>
      </c>
      <c r="B81" s="44">
        <v>0.57899999999999996</v>
      </c>
      <c r="C81" s="39">
        <v>0.52833333333333332</v>
      </c>
      <c r="D81" s="40" t="s">
        <v>77</v>
      </c>
    </row>
    <row r="82" spans="1:4" x14ac:dyDescent="0.25">
      <c r="A82" s="40">
        <v>0.48866666666666675</v>
      </c>
      <c r="B82" s="44">
        <v>0.46500000000000002</v>
      </c>
      <c r="C82" s="39">
        <v>0.45066666666666672</v>
      </c>
      <c r="D82" s="40" t="s">
        <v>78</v>
      </c>
    </row>
    <row r="83" spans="1:4" x14ac:dyDescent="0.25">
      <c r="A83" s="40">
        <v>0.64800000000000002</v>
      </c>
      <c r="B83" s="44">
        <v>0.62466666666666659</v>
      </c>
      <c r="C83" s="39">
        <v>0.62</v>
      </c>
      <c r="D83" s="40" t="s">
        <v>79</v>
      </c>
    </row>
    <row r="84" spans="1:4" x14ac:dyDescent="0.25">
      <c r="A84" s="40">
        <v>0.48566666666666669</v>
      </c>
      <c r="B84" s="44">
        <v>0.36366666666666664</v>
      </c>
      <c r="C84" s="39">
        <v>0.56366666666666665</v>
      </c>
      <c r="D84" s="40" t="s">
        <v>80</v>
      </c>
    </row>
    <row r="93" spans="1:4" x14ac:dyDescent="0.25">
      <c r="A93" s="78" t="s">
        <v>81</v>
      </c>
      <c r="B93" s="78" t="s">
        <v>82</v>
      </c>
      <c r="C93" s="78" t="s">
        <v>83</v>
      </c>
      <c r="D93" s="78" t="s">
        <v>12</v>
      </c>
    </row>
    <row r="94" spans="1:4" x14ac:dyDescent="0.25">
      <c r="A94" s="79">
        <v>28.660129348168926</v>
      </c>
      <c r="B94" s="80">
        <v>12.289874790202694</v>
      </c>
      <c r="C94" s="81">
        <v>16.215691787068153</v>
      </c>
      <c r="D94" s="40" t="s">
        <v>73</v>
      </c>
    </row>
    <row r="95" spans="1:4" x14ac:dyDescent="0.25">
      <c r="A95" s="79">
        <v>27.320198550158132</v>
      </c>
      <c r="B95" s="80">
        <v>20.810604785802749</v>
      </c>
      <c r="C95" s="81">
        <v>15.149060279132089</v>
      </c>
      <c r="D95" s="40" t="s">
        <v>74</v>
      </c>
    </row>
    <row r="96" spans="1:4" x14ac:dyDescent="0.25">
      <c r="A96" s="79">
        <v>19.198298121212673</v>
      </c>
      <c r="B96" s="80">
        <v>11.539488110473313</v>
      </c>
      <c r="C96" s="81">
        <v>9.0827020921568806</v>
      </c>
      <c r="D96" s="40" t="s">
        <v>75</v>
      </c>
    </row>
    <row r="97" spans="1:4" x14ac:dyDescent="0.25">
      <c r="A97" s="79">
        <v>18.439610627340347</v>
      </c>
      <c r="B97" s="80">
        <v>10.591944601056502</v>
      </c>
      <c r="C97" s="81">
        <v>5.4045698754703411</v>
      </c>
      <c r="D97" s="40" t="s">
        <v>76</v>
      </c>
    </row>
    <row r="98" spans="1:4" x14ac:dyDescent="0.25">
      <c r="A98" s="79">
        <v>22.332067177810579</v>
      </c>
      <c r="B98" s="80">
        <v>11.08346512031925</v>
      </c>
      <c r="C98" s="81">
        <v>7.5565089334769864</v>
      </c>
      <c r="D98" s="40" t="s">
        <v>77</v>
      </c>
    </row>
    <row r="99" spans="1:4" x14ac:dyDescent="0.25">
      <c r="A99" s="79">
        <v>5.5986490948926715</v>
      </c>
      <c r="B99" s="80">
        <v>4.6814269575661438</v>
      </c>
      <c r="C99" s="81">
        <v>4.2006594950136105</v>
      </c>
      <c r="D99" s="40" t="s">
        <v>78</v>
      </c>
    </row>
    <row r="100" spans="1:4" x14ac:dyDescent="0.25">
      <c r="A100" s="79">
        <v>18.673422736879878</v>
      </c>
      <c r="B100" s="80">
        <v>15.653568897941526</v>
      </c>
      <c r="C100" s="81">
        <v>15.110932204447485</v>
      </c>
      <c r="D100" s="40" t="s">
        <v>79</v>
      </c>
    </row>
    <row r="101" spans="1:4" x14ac:dyDescent="0.25">
      <c r="A101" s="79">
        <v>5.4730991903932837</v>
      </c>
      <c r="B101" s="80">
        <v>2.1760533269957767</v>
      </c>
      <c r="C101" s="81">
        <v>9.8703255390849183</v>
      </c>
      <c r="D101" s="40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2025-05-07T09:04:00Z</dcterms:modified>
</cp:coreProperties>
</file>