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Jacquemin\Documents\Master2\Stage\"/>
    </mc:Choice>
  </mc:AlternateContent>
  <xr:revisionPtr revIDLastSave="0" documentId="13_ncr:1_{F9BBFBC5-C4C6-49DC-82A0-0621AC8ACD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2_networ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M12" i="1"/>
  <c r="N12" i="1"/>
  <c r="O12" i="1"/>
  <c r="P12" i="1"/>
  <c r="Q12" i="1"/>
  <c r="R12" i="1"/>
  <c r="S12" i="1"/>
  <c r="T12" i="1"/>
  <c r="L12" i="1"/>
  <c r="T18" i="1"/>
  <c r="T6" i="1"/>
  <c r="T5" i="1"/>
  <c r="P6" i="1"/>
  <c r="P5" i="1"/>
  <c r="O18" i="1"/>
  <c r="Q18" i="1"/>
  <c r="N18" i="1"/>
  <c r="M18" i="1"/>
  <c r="R18" i="1"/>
  <c r="S18" i="1"/>
  <c r="L18" i="1"/>
  <c r="K29" i="1"/>
  <c r="K21" i="1"/>
  <c r="K20" i="1"/>
  <c r="M7" i="1"/>
  <c r="N7" i="1"/>
  <c r="O7" i="1"/>
  <c r="R7" i="1"/>
  <c r="S7" i="1"/>
  <c r="L7" i="1"/>
  <c r="B8" i="1"/>
  <c r="U4" i="1"/>
  <c r="B32" i="1" s="1"/>
  <c r="B42" i="1"/>
  <c r="B36" i="1"/>
  <c r="B35" i="1"/>
  <c r="B26" i="1"/>
  <c r="F2" i="1"/>
  <c r="F3" i="1"/>
  <c r="F4" i="1"/>
  <c r="F5" i="1"/>
  <c r="F6" i="1"/>
  <c r="F7" i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D26" i="1" l="1"/>
  <c r="F26" i="1" s="1"/>
  <c r="B24" i="1"/>
  <c r="B25" i="1" s="1"/>
  <c r="D25" i="1" s="1"/>
  <c r="B27" i="1"/>
  <c r="D27" i="1" l="1"/>
  <c r="D24" i="1"/>
  <c r="F24" i="1" s="1"/>
  <c r="B10" i="1" l="1"/>
  <c r="F27" i="1"/>
  <c r="F25" i="1" l="1"/>
  <c r="B14" i="1"/>
  <c r="B16" i="1"/>
  <c r="O5" i="1" l="1"/>
  <c r="Q5" i="1"/>
  <c r="Q6" i="1"/>
  <c r="O6" i="1"/>
  <c r="S6" i="1"/>
  <c r="N6" i="1"/>
  <c r="L6" i="1"/>
  <c r="R6" i="1"/>
  <c r="M6" i="1"/>
  <c r="M5" i="1"/>
  <c r="S5" i="1"/>
  <c r="N5" i="1"/>
  <c r="L5" i="1"/>
  <c r="R5" i="1"/>
</calcChain>
</file>

<file path=xl/sharedStrings.xml><?xml version="1.0" encoding="utf-8"?>
<sst xmlns="http://schemas.openxmlformats.org/spreadsheetml/2006/main" count="92" uniqueCount="79">
  <si>
    <t>Large</t>
  </si>
  <si>
    <t>Medium</t>
  </si>
  <si>
    <t>Small</t>
  </si>
  <si>
    <t>Repurposed</t>
  </si>
  <si>
    <t>New</t>
  </si>
  <si>
    <t>Proportion in the backbone [-]</t>
  </si>
  <si>
    <t>Total length of the network in europe [km] (2035)</t>
  </si>
  <si>
    <t>CAPEX pipelines [M€/km]</t>
  </si>
  <si>
    <t>CAPEX Compressors [M€/km]</t>
  </si>
  <si>
    <t>Lifetime pipelines</t>
  </si>
  <si>
    <t>Lifetime compressors</t>
  </si>
  <si>
    <t>OPEX pipeline (excluding electricity) [M€/km/year] = 0.9% of CAPEX</t>
  </si>
  <si>
    <t>OPEX compressor (excluding electricity) [M€/km/year] = 1.7% of CAPEX</t>
  </si>
  <si>
    <t>Average CAPEX pipeline [M€/km]</t>
  </si>
  <si>
    <t>Average OPEX pipeline [M€/km/year]</t>
  </si>
  <si>
    <t>Average CAPEX compressor [M€/km]</t>
  </si>
  <si>
    <t>Average OPEX compressor [M€/km/year]</t>
  </si>
  <si>
    <t>Interest rate</t>
  </si>
  <si>
    <t>Annualization factor pipeline</t>
  </si>
  <si>
    <t>Annualization factor compressor</t>
  </si>
  <si>
    <t>Total CAPEX pipeline [M€]</t>
  </si>
  <si>
    <t>Total OPEX pipeline [M€/year]</t>
  </si>
  <si>
    <t>Total CAPEX compressor [M€]</t>
  </si>
  <si>
    <t>Total OPEX compressor [M€/year]</t>
  </si>
  <si>
    <t>Total CAPEX pipeline [M€/GW]</t>
  </si>
  <si>
    <t>Total OPEX pipeline [M€/GW/year]</t>
  </si>
  <si>
    <t>Total CAPEX compressor [M€/GW]</t>
  </si>
  <si>
    <t>Total OPEX compressor [M€/GW/year]</t>
  </si>
  <si>
    <t>Load factor [hour/year]</t>
  </si>
  <si>
    <t>Network Total Power [GW]</t>
  </si>
  <si>
    <t>Interconnection length [km]</t>
  </si>
  <si>
    <t>Ratio of levelized offshore/onshore</t>
  </si>
  <si>
    <t>Capacity [GW] (LHV)</t>
  </si>
  <si>
    <t>Total H2 demand/supply [TWh/year]</t>
  </si>
  <si>
    <t>AT-CH-IT/BE-DE-LU-NL</t>
  </si>
  <si>
    <t>AT-CH-IT/FR</t>
  </si>
  <si>
    <t>BE-DE-LU-NL/DK-SE</t>
  </si>
  <si>
    <t>BE-DE-LU-NL/IE-UK</t>
  </si>
  <si>
    <t>DK-SE/FR</t>
  </si>
  <si>
    <t>DK-SE/IE-UK</t>
  </si>
  <si>
    <t>ES-PT/FR</t>
  </si>
  <si>
    <t>BE-DE-LU-NL/FR</t>
  </si>
  <si>
    <t>Paris</t>
  </si>
  <si>
    <t>Cologne</t>
  </si>
  <si>
    <t>NEW PIPELINES (13GW)</t>
  </si>
  <si>
    <t>REPURPOSED PIPELINE (13GW)</t>
  </si>
  <si>
    <t>WEIGHTED AVERAGE (S-M-L)</t>
  </si>
  <si>
    <t>Annualized cost [M€/GW/km/year]</t>
  </si>
  <si>
    <t>Madrid</t>
  </si>
  <si>
    <t>Stockholm</t>
  </si>
  <si>
    <t>From</t>
  </si>
  <si>
    <t>To</t>
  </si>
  <si>
    <t>Milan</t>
  </si>
  <si>
    <t>Hamburg</t>
  </si>
  <si>
    <t>Norwhich</t>
  </si>
  <si>
    <t>Annualized cost new [M€/GW/year]</t>
  </si>
  <si>
    <t>Annualized cost repurposed [M€/GW/year]</t>
  </si>
  <si>
    <t>Total [km]</t>
  </si>
  <si>
    <t>GAS INTERCONNECTIONS</t>
  </si>
  <si>
    <t>HYDROGEN INTERCONNECTIONS</t>
  </si>
  <si>
    <t>Operating cost (EHB 2022) [M€/km/y]</t>
  </si>
  <si>
    <t>Operating cost (EHB 2022) [M€/y]</t>
  </si>
  <si>
    <t>Ratio between OPEX found here and the EHB 2022 (low)</t>
  </si>
  <si>
    <t>losses [%]</t>
  </si>
  <si>
    <t>ELECTRICAL CONNECTION</t>
  </si>
  <si>
    <t>CAPEX AC fixed [M€/line]</t>
  </si>
  <si>
    <t>CAPEX AC [M€/GW/km]</t>
  </si>
  <si>
    <t>CAPEX CD cable fixed [M€/line]</t>
  </si>
  <si>
    <t>CAPEX DC cable [M€/GW/km]</t>
  </si>
  <si>
    <t>OPEX DC cable [€/km]</t>
  </si>
  <si>
    <t>Total Annualized cost  [M€/GW/year]</t>
  </si>
  <si>
    <t>lifetime [year]</t>
  </si>
  <si>
    <t>Annualization factor</t>
  </si>
  <si>
    <t>OPEX AC [€/km]</t>
  </si>
  <si>
    <t>FR-IE_UK</t>
  </si>
  <si>
    <t>London</t>
  </si>
  <si>
    <t>Esbjerk</t>
  </si>
  <si>
    <t>Bruges-&gt;Cologne</t>
  </si>
  <si>
    <t>Calais-&gt;Paris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</si>
</sst>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11" fontId="0" fillId="0" borderId="0" xfId="0" applyNumberFormat="1"/>
    <xf numFmtId="0" fontId="3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/>
    </xf>
  </cellXfs>
  <cellStyles count="3">
    <cellStyle name="Normal" xfId="0" builtinId="0"/>
    <cellStyle name="Normal 2" xfId="1" xr:uid="{00000000-0005-0000-0000-000001000000}"/>
    <cellStyle name="Standard 2" xfId="2" xr:uid="{00000000-0005-0000-0000-000002000000}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33"/>
  <sheetViews>
    <sheetView tabSelected="1" topLeftCell="A15" zoomScale="64" workbookViewId="0">
      <selection activeCell="O18" sqref="O18"/>
    </sheetView>
  </sheetViews>
  <sheetFormatPr baseColWidth="10" defaultRowHeight="14.4" x14ac:dyDescent="0.3"/>
  <cols>
    <col min="1" max="1" width="64.6640625" customWidth="1"/>
    <col min="3" max="3" width="18.88671875" customWidth="1"/>
    <col min="4" max="4" width="19.109375" customWidth="1"/>
    <col min="5" max="5" width="20.21875" customWidth="1"/>
    <col min="6" max="6" width="18.77734375" customWidth="1"/>
    <col min="7" max="7" width="14" customWidth="1"/>
    <col min="8" max="8" width="16" customWidth="1"/>
    <col min="9" max="9" width="30.77734375" customWidth="1"/>
    <col min="10" max="10" width="40.88671875" customWidth="1"/>
    <col min="12" max="12" width="23.21875" customWidth="1"/>
    <col min="13" max="13" width="13.6640625" customWidth="1"/>
    <col min="14" max="15" width="19.6640625" customWidth="1"/>
    <col min="17" max="17" width="14.5546875" customWidth="1"/>
    <col min="19" max="19" width="19.44140625" customWidth="1"/>
    <col min="43" max="43" width="19.33203125" customWidth="1"/>
  </cols>
  <sheetData>
    <row r="1" spans="1:56" ht="66.599999999999994" customHeight="1" x14ac:dyDescent="0.3">
      <c r="C1" s="1" t="s">
        <v>7</v>
      </c>
      <c r="D1" s="2" t="s">
        <v>8</v>
      </c>
      <c r="E1" s="1" t="s">
        <v>11</v>
      </c>
      <c r="F1" s="1" t="s">
        <v>12</v>
      </c>
      <c r="G1" s="1" t="s">
        <v>5</v>
      </c>
      <c r="H1" s="1" t="s">
        <v>32</v>
      </c>
      <c r="J1" s="6" t="s">
        <v>59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74</v>
      </c>
    </row>
    <row r="2" spans="1:56" x14ac:dyDescent="0.3">
      <c r="A2" s="7" t="s">
        <v>0</v>
      </c>
      <c r="B2" t="s">
        <v>3</v>
      </c>
      <c r="C2">
        <f>0.5</f>
        <v>0.5</v>
      </c>
      <c r="D2">
        <v>0.62</v>
      </c>
      <c r="E2">
        <f>0.009*C2</f>
        <v>4.4999999999999997E-3</v>
      </c>
      <c r="F2">
        <f>0.017*D2</f>
        <v>1.0540000000000001E-2</v>
      </c>
      <c r="G2">
        <v>0.33</v>
      </c>
      <c r="H2">
        <v>13</v>
      </c>
      <c r="J2" t="s">
        <v>50</v>
      </c>
      <c r="L2" t="s">
        <v>52</v>
      </c>
      <c r="M2" t="s">
        <v>52</v>
      </c>
      <c r="N2" t="s">
        <v>53</v>
      </c>
      <c r="O2" t="s">
        <v>54</v>
      </c>
      <c r="P2" t="s">
        <v>76</v>
      </c>
      <c r="Q2" t="s">
        <v>54</v>
      </c>
      <c r="R2" t="s">
        <v>48</v>
      </c>
      <c r="S2" t="s">
        <v>43</v>
      </c>
      <c r="T2" t="s">
        <v>75</v>
      </c>
    </row>
    <row r="3" spans="1:56" x14ac:dyDescent="0.3">
      <c r="A3" s="7"/>
      <c r="B3" t="s">
        <v>4</v>
      </c>
      <c r="C3">
        <f>2.8</f>
        <v>2.8</v>
      </c>
      <c r="D3">
        <v>0.62</v>
      </c>
      <c r="E3">
        <f t="shared" ref="E3:E7" si="0">0.009*C3</f>
        <v>2.5199999999999997E-2</v>
      </c>
      <c r="F3">
        <f t="shared" ref="F3:F7" si="1">0.017*D3</f>
        <v>1.0540000000000001E-2</v>
      </c>
      <c r="G3">
        <v>0.25</v>
      </c>
      <c r="H3">
        <v>13</v>
      </c>
      <c r="J3" t="s">
        <v>51</v>
      </c>
      <c r="L3" t="s">
        <v>43</v>
      </c>
      <c r="M3" t="s">
        <v>42</v>
      </c>
      <c r="N3" t="s">
        <v>49</v>
      </c>
      <c r="O3" t="s">
        <v>77</v>
      </c>
      <c r="P3" t="s">
        <v>78</v>
      </c>
      <c r="Q3" t="s">
        <v>49</v>
      </c>
      <c r="R3" t="s">
        <v>42</v>
      </c>
      <c r="S3" t="s">
        <v>42</v>
      </c>
      <c r="T3" t="s">
        <v>42</v>
      </c>
      <c r="U3" t="s">
        <v>57</v>
      </c>
      <c r="AQ3" s="1"/>
    </row>
    <row r="4" spans="1:56" x14ac:dyDescent="0.3">
      <c r="A4" s="7" t="s">
        <v>1</v>
      </c>
      <c r="B4" t="s">
        <v>3</v>
      </c>
      <c r="C4">
        <f>0.4</f>
        <v>0.4</v>
      </c>
      <c r="D4">
        <v>0.14000000000000001</v>
      </c>
      <c r="E4">
        <f t="shared" si="0"/>
        <v>3.5999999999999999E-3</v>
      </c>
      <c r="F4">
        <f t="shared" si="1"/>
        <v>2.3800000000000006E-3</v>
      </c>
      <c r="G4">
        <v>0.19</v>
      </c>
      <c r="H4">
        <v>3.6</v>
      </c>
      <c r="J4" t="s">
        <v>30</v>
      </c>
      <c r="L4">
        <v>635</v>
      </c>
      <c r="M4">
        <v>641</v>
      </c>
      <c r="N4">
        <v>806</v>
      </c>
      <c r="O4">
        <v>218</v>
      </c>
      <c r="P4">
        <v>710</v>
      </c>
      <c r="Q4">
        <v>1264</v>
      </c>
      <c r="R4">
        <v>1054</v>
      </c>
      <c r="S4">
        <v>409</v>
      </c>
      <c r="T4">
        <v>105</v>
      </c>
      <c r="U4">
        <f>L4+M4+N4+O4+R4</f>
        <v>3354</v>
      </c>
      <c r="AQ4" s="1"/>
    </row>
    <row r="5" spans="1:56" x14ac:dyDescent="0.3">
      <c r="A5" s="7"/>
      <c r="B5" t="s">
        <v>4</v>
      </c>
      <c r="C5">
        <f>2.2</f>
        <v>2.2000000000000002</v>
      </c>
      <c r="D5">
        <v>0.32</v>
      </c>
      <c r="E5">
        <f t="shared" si="0"/>
        <v>1.9800000000000002E-2</v>
      </c>
      <c r="F5">
        <f t="shared" si="1"/>
        <v>5.4400000000000004E-3</v>
      </c>
      <c r="G5">
        <v>0.13</v>
      </c>
      <c r="H5">
        <v>4.7</v>
      </c>
      <c r="J5" t="s">
        <v>55</v>
      </c>
      <c r="L5">
        <f>$B$14*L4</f>
        <v>16.693569629666289</v>
      </c>
      <c r="M5">
        <f>$B$14*M4</f>
        <v>16.851304145852112</v>
      </c>
      <c r="N5">
        <f>$B$14*N4</f>
        <v>21.189003340962252</v>
      </c>
      <c r="O5">
        <f>$B$14*O4*$K$9+264*$B$14</f>
        <v>16.6830539952539</v>
      </c>
      <c r="P5">
        <f>$B$14*P4*$K$9+235*B14</f>
        <v>37.908862056659508</v>
      </c>
      <c r="Q5">
        <f t="shared" ref="Q5" si="2">$B$14*Q4*$K$9</f>
        <v>56.489988063349486</v>
      </c>
      <c r="R5">
        <f>$B$14*R4</f>
        <v>27.708696676642944</v>
      </c>
      <c r="S5">
        <f>$B$14*S4</f>
        <v>10.752236186666948</v>
      </c>
      <c r="T5">
        <f>B14*T4*K9+230*B14</f>
        <v>10.739091643651463</v>
      </c>
      <c r="AQ5" s="1"/>
    </row>
    <row r="6" spans="1:56" x14ac:dyDescent="0.3">
      <c r="A6" s="7" t="s">
        <v>2</v>
      </c>
      <c r="B6" t="s">
        <v>3</v>
      </c>
      <c r="C6">
        <f>0.3</f>
        <v>0.3</v>
      </c>
      <c r="D6">
        <v>0.09</v>
      </c>
      <c r="E6">
        <f t="shared" si="0"/>
        <v>2.6999999999999997E-3</v>
      </c>
      <c r="F6">
        <f t="shared" si="1"/>
        <v>1.5300000000000001E-3</v>
      </c>
      <c r="G6">
        <v>0.06</v>
      </c>
      <c r="H6">
        <v>1.2</v>
      </c>
      <c r="J6" t="s">
        <v>56</v>
      </c>
      <c r="L6">
        <f>$B$16*L4</f>
        <v>5.967822517284076</v>
      </c>
      <c r="M6">
        <f>$B$16*M4</f>
        <v>6.0242113914631386</v>
      </c>
      <c r="N6">
        <f>$B$16*N4</f>
        <v>7.5749054313873474</v>
      </c>
      <c r="O6">
        <f>$B$16*O4*$K$9+264*B16</f>
        <v>5.9640632590054725</v>
      </c>
      <c r="P6">
        <f>$B$16*P4*$K$9+235*B16</f>
        <v>13.552126094367933</v>
      </c>
      <c r="Q6">
        <f>$B$16*Q4*$K$9</f>
        <v>20.194735472661453</v>
      </c>
      <c r="R6">
        <f>$B$16*R4</f>
        <v>9.9056455641219152</v>
      </c>
      <c r="S6">
        <f>$B$16*S4</f>
        <v>3.8438415898727358</v>
      </c>
      <c r="T6">
        <f>T4*B16*K9+230*B16</f>
        <v>3.8391425170244804</v>
      </c>
      <c r="AQ6" s="1"/>
    </row>
    <row r="7" spans="1:56" x14ac:dyDescent="0.3">
      <c r="A7" s="7"/>
      <c r="B7" t="s">
        <v>4</v>
      </c>
      <c r="C7">
        <f>1.5</f>
        <v>1.5</v>
      </c>
      <c r="D7">
        <v>0.09</v>
      </c>
      <c r="E7">
        <f t="shared" si="0"/>
        <v>1.3499999999999998E-2</v>
      </c>
      <c r="F7">
        <f t="shared" si="1"/>
        <v>1.5300000000000001E-3</v>
      </c>
      <c r="G7">
        <v>0.03</v>
      </c>
      <c r="H7">
        <v>1.2</v>
      </c>
      <c r="J7" s="1" t="s">
        <v>63</v>
      </c>
      <c r="L7">
        <f>2.3/1000*L4</f>
        <v>1.4604999999999999</v>
      </c>
      <c r="M7">
        <f t="shared" ref="M7:S7" si="3">2.3/1000*M4</f>
        <v>1.4742999999999999</v>
      </c>
      <c r="N7">
        <f t="shared" si="3"/>
        <v>1.8537999999999999</v>
      </c>
      <c r="O7">
        <f t="shared" si="3"/>
        <v>0.50139999999999996</v>
      </c>
      <c r="R7">
        <f t="shared" si="3"/>
        <v>2.4241999999999999</v>
      </c>
      <c r="S7">
        <f t="shared" si="3"/>
        <v>0.94069999999999998</v>
      </c>
      <c r="AQ7" s="1"/>
    </row>
    <row r="8" spans="1:56" x14ac:dyDescent="0.3">
      <c r="A8" t="s">
        <v>61</v>
      </c>
      <c r="B8">
        <f>2400</f>
        <v>2400</v>
      </c>
      <c r="J8" s="1"/>
    </row>
    <row r="9" spans="1:56" ht="36.6" customHeight="1" x14ac:dyDescent="0.3">
      <c r="A9" t="s">
        <v>60</v>
      </c>
      <c r="B9">
        <f>B8/53000</f>
        <v>4.5283018867924525E-2</v>
      </c>
      <c r="J9" t="s">
        <v>31</v>
      </c>
      <c r="K9">
        <v>1.7</v>
      </c>
      <c r="BD9" s="4"/>
    </row>
    <row r="10" spans="1:56" ht="40.200000000000003" customHeight="1" x14ac:dyDescent="0.3">
      <c r="A10" t="s">
        <v>62</v>
      </c>
      <c r="B10">
        <f>(D25+D27)/1800/B32*53000</f>
        <v>0.56004216666666662</v>
      </c>
      <c r="E10" s="1"/>
      <c r="BD10" s="4"/>
    </row>
    <row r="11" spans="1:56" ht="34.799999999999997" customHeight="1" x14ac:dyDescent="0.3">
      <c r="C11" s="1"/>
      <c r="E11" s="1"/>
      <c r="J11" s="6" t="s">
        <v>58</v>
      </c>
    </row>
    <row r="12" spans="1:56" ht="41.4" customHeight="1" x14ac:dyDescent="0.3">
      <c r="C12" s="1"/>
      <c r="E12" s="1"/>
      <c r="J12" t="s">
        <v>70</v>
      </c>
      <c r="L12">
        <f>L5/1.3</f>
        <v>12.841207407435606</v>
      </c>
      <c r="M12">
        <f t="shared" ref="M12:T12" si="4">M5/1.3</f>
        <v>12.962541650655471</v>
      </c>
      <c r="N12">
        <f t="shared" si="4"/>
        <v>16.299233339201731</v>
      </c>
      <c r="O12">
        <f t="shared" si="4"/>
        <v>12.833118457887615</v>
      </c>
      <c r="P12">
        <f t="shared" si="4"/>
        <v>29.160663120507312</v>
      </c>
      <c r="Q12">
        <f t="shared" si="4"/>
        <v>43.453836971807299</v>
      </c>
      <c r="R12">
        <f t="shared" si="4"/>
        <v>21.314382058956109</v>
      </c>
      <c r="S12">
        <f t="shared" si="4"/>
        <v>8.2709509128207301</v>
      </c>
      <c r="T12">
        <f t="shared" si="4"/>
        <v>8.2608397258857398</v>
      </c>
    </row>
    <row r="13" spans="1:56" ht="21" x14ac:dyDescent="0.4">
      <c r="A13" s="5" t="s">
        <v>44</v>
      </c>
      <c r="C13" s="1"/>
      <c r="E13" s="1"/>
    </row>
    <row r="14" spans="1:56" x14ac:dyDescent="0.3">
      <c r="A14" s="1" t="s">
        <v>47</v>
      </c>
      <c r="B14">
        <f>(C3*B35+D3*B36+(E3+F3)/B10)/H3</f>
        <v>2.6289086030970535E-2</v>
      </c>
    </row>
    <row r="15" spans="1:56" ht="21" x14ac:dyDescent="0.4">
      <c r="A15" s="5" t="s">
        <v>45</v>
      </c>
      <c r="J15" s="6" t="s">
        <v>64</v>
      </c>
    </row>
    <row r="16" spans="1:56" ht="36" customHeight="1" x14ac:dyDescent="0.3">
      <c r="A16" s="1" t="s">
        <v>47</v>
      </c>
      <c r="B16">
        <f>(C2*B35+D2*B36+(E2+F2)/B10)/H2</f>
        <v>9.3981456965103564E-3</v>
      </c>
    </row>
    <row r="17" spans="1:20" x14ac:dyDescent="0.3">
      <c r="A17" s="1"/>
      <c r="C17" s="1"/>
      <c r="E17" s="1"/>
    </row>
    <row r="18" spans="1:20" ht="27.6" customHeight="1" x14ac:dyDescent="0.3">
      <c r="A18" s="1"/>
      <c r="C18" s="1"/>
      <c r="E18" s="1"/>
      <c r="J18" t="s">
        <v>70</v>
      </c>
      <c r="L18">
        <f>($K$20+$K$21*L4)*$K$29+$K$22*L4/10^6</f>
        <v>67.811830409288561</v>
      </c>
      <c r="M18">
        <f>($K$20+$K$21*M4)*$K$29+$K$22*M4/10^6</f>
        <v>68.407557762810868</v>
      </c>
      <c r="N18">
        <f>($K$20+$K$21*N4)*$K$29+$K$22*N4/10^6</f>
        <v>84.79005998467413</v>
      </c>
      <c r="O18">
        <f>($K$24+$K$25*O4)*$K$29+$K$26*O4/10^6+($K$20+$K$21*264)*$K$29+$K$22*264/10^6</f>
        <v>84.835980235716505</v>
      </c>
      <c r="Q18">
        <f>(($K$20+$K$21*Q4)*$K$29+$K$22*Q4/10^6)/2 + (($K$24+$K$25*Q4)*$K$29+$K$26*Q4/10^6)/2</f>
        <v>168.8922473647836</v>
      </c>
      <c r="R18">
        <f>($K$20+$K$21*R4)*$K$29+$K$22*R4/10^6</f>
        <v>109.41345726359589</v>
      </c>
      <c r="S18">
        <f>($K$20+$K$21*S4)*$K$29+$K$22*S4/10^6</f>
        <v>45.372766759948568</v>
      </c>
      <c r="T18">
        <f>($K$24+$K$25*T4)*$K$29+$K$26*T4/10^6+($K$20+$K$21*230)*$K$29+$K$22*230/10^6</f>
        <v>64.860143798578534</v>
      </c>
    </row>
    <row r="19" spans="1:20" x14ac:dyDescent="0.3">
      <c r="A19" s="1"/>
      <c r="C19" s="1"/>
      <c r="E19" s="1"/>
    </row>
    <row r="20" spans="1:20" x14ac:dyDescent="0.3">
      <c r="A20" s="1"/>
      <c r="C20" s="1"/>
      <c r="E20" s="1"/>
      <c r="J20" t="s">
        <v>65</v>
      </c>
      <c r="K20">
        <f>60</f>
        <v>60</v>
      </c>
    </row>
    <row r="21" spans="1:20" x14ac:dyDescent="0.3">
      <c r="J21" t="s">
        <v>66</v>
      </c>
      <c r="K21">
        <f>1.25</f>
        <v>1.25</v>
      </c>
    </row>
    <row r="22" spans="1:20" x14ac:dyDescent="0.3">
      <c r="J22" t="s">
        <v>73</v>
      </c>
      <c r="K22">
        <v>37.5</v>
      </c>
    </row>
    <row r="23" spans="1:20" ht="21" x14ac:dyDescent="0.4">
      <c r="A23" s="5" t="s">
        <v>46</v>
      </c>
    </row>
    <row r="24" spans="1:20" ht="28.8" x14ac:dyDescent="0.3">
      <c r="A24" s="1" t="s">
        <v>13</v>
      </c>
      <c r="B24">
        <f>SUMPRODUCT(C2:C7,G2:G7)</f>
        <v>1.29</v>
      </c>
      <c r="C24" s="1" t="s">
        <v>20</v>
      </c>
      <c r="D24">
        <f>B24*B$32</f>
        <v>64043.340000000004</v>
      </c>
      <c r="E24" s="1" t="s">
        <v>24</v>
      </c>
      <c r="F24">
        <f>D24/B$42</f>
        <v>195.25408536585368</v>
      </c>
      <c r="J24" t="s">
        <v>67</v>
      </c>
      <c r="K24">
        <v>275</v>
      </c>
    </row>
    <row r="25" spans="1:20" ht="28.8" x14ac:dyDescent="0.3">
      <c r="A25" s="1" t="s">
        <v>14</v>
      </c>
      <c r="B25">
        <f>0.009*B24</f>
        <v>1.1609999999999999E-2</v>
      </c>
      <c r="C25" s="1" t="s">
        <v>21</v>
      </c>
      <c r="D25">
        <f>B25*B$32</f>
        <v>576.39005999999995</v>
      </c>
      <c r="E25" s="1" t="s">
        <v>25</v>
      </c>
      <c r="F25">
        <f>D25/B$42/B10</f>
        <v>3.1377758191886436</v>
      </c>
      <c r="J25" t="s">
        <v>68</v>
      </c>
      <c r="K25">
        <v>1.85</v>
      </c>
    </row>
    <row r="26" spans="1:20" ht="28.8" x14ac:dyDescent="0.3">
      <c r="A26" s="1" t="s">
        <v>15</v>
      </c>
      <c r="B26">
        <f>SUMPRODUCT(D2:D7,G2:G7)</f>
        <v>0.43590000000000007</v>
      </c>
      <c r="C26" s="1" t="s">
        <v>22</v>
      </c>
      <c r="D26">
        <f>B26*B$32</f>
        <v>21640.691400000003</v>
      </c>
      <c r="E26" s="1" t="s">
        <v>26</v>
      </c>
      <c r="F26">
        <f>D26/B$42</f>
        <v>65.977717682926837</v>
      </c>
      <c r="J26" t="s">
        <v>69</v>
      </c>
      <c r="K26">
        <v>12.5</v>
      </c>
    </row>
    <row r="27" spans="1:20" ht="43.2" x14ac:dyDescent="0.3">
      <c r="A27" s="1" t="s">
        <v>16</v>
      </c>
      <c r="B27">
        <f>0.017*B26</f>
        <v>7.4103000000000016E-3</v>
      </c>
      <c r="C27" s="1" t="s">
        <v>23</v>
      </c>
      <c r="D27">
        <f>B27*B$32</f>
        <v>367.89175380000006</v>
      </c>
      <c r="E27" s="1" t="s">
        <v>27</v>
      </c>
      <c r="F27">
        <f>D27/B$42/B10</f>
        <v>2.0027441992190882</v>
      </c>
    </row>
    <row r="28" spans="1:20" x14ac:dyDescent="0.3">
      <c r="C28" s="1"/>
      <c r="J28" t="s">
        <v>71</v>
      </c>
      <c r="K28">
        <v>40</v>
      </c>
    </row>
    <row r="29" spans="1:20" x14ac:dyDescent="0.3">
      <c r="A29" t="s">
        <v>9</v>
      </c>
      <c r="B29">
        <v>40</v>
      </c>
      <c r="J29" t="s">
        <v>72</v>
      </c>
      <c r="K29">
        <f>B35</f>
        <v>7.9400313802973424E-2</v>
      </c>
    </row>
    <row r="30" spans="1:20" ht="32.4" customHeight="1" x14ac:dyDescent="0.3">
      <c r="A30" t="s">
        <v>10</v>
      </c>
      <c r="B30">
        <v>25</v>
      </c>
    </row>
    <row r="32" spans="1:20" x14ac:dyDescent="0.3">
      <c r="A32" s="1" t="s">
        <v>6</v>
      </c>
      <c r="B32">
        <f>53000-U4</f>
        <v>49646</v>
      </c>
    </row>
    <row r="34" spans="1:2" x14ac:dyDescent="0.3">
      <c r="A34" t="s">
        <v>17</v>
      </c>
      <c r="B34">
        <v>7.4999999999999997E-2</v>
      </c>
    </row>
    <row r="35" spans="1:2" x14ac:dyDescent="0.3">
      <c r="A35" t="s">
        <v>18</v>
      </c>
      <c r="B35">
        <f>(B34*(B34+1)^B29)/((B34+1)^B29-1)</f>
        <v>7.9400313802973424E-2</v>
      </c>
    </row>
    <row r="36" spans="1:2" x14ac:dyDescent="0.3">
      <c r="A36" t="s">
        <v>19</v>
      </c>
      <c r="B36">
        <f>(B34*(B34+1)^B30)/((B34+1)^B30-1)</f>
        <v>8.9710671649444018E-2</v>
      </c>
    </row>
    <row r="38" spans="1:2" x14ac:dyDescent="0.3">
      <c r="A38" t="s">
        <v>33</v>
      </c>
      <c r="B38">
        <v>1640</v>
      </c>
    </row>
    <row r="40" spans="1:2" x14ac:dyDescent="0.3">
      <c r="A40" t="s">
        <v>28</v>
      </c>
      <c r="B40">
        <v>5000</v>
      </c>
    </row>
    <row r="42" spans="1:2" x14ac:dyDescent="0.3">
      <c r="A42" t="s">
        <v>29</v>
      </c>
      <c r="B42">
        <f>1640/5000*1000</f>
        <v>328</v>
      </c>
    </row>
    <row r="45" spans="1:2" x14ac:dyDescent="0.3">
      <c r="A45" s="3"/>
    </row>
    <row r="63" ht="15" customHeight="1" x14ac:dyDescent="0.3"/>
    <row r="71" ht="15" customHeight="1" x14ac:dyDescent="0.3"/>
    <row r="133" ht="15" customHeight="1" x14ac:dyDescent="0.3"/>
  </sheetData>
  <mergeCells count="3">
    <mergeCell ref="A2:A3"/>
    <mergeCell ref="A4:A5"/>
    <mergeCell ref="A6:A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H2_network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jacquemin</dc:creator>
  <cp:lastModifiedBy>julien jacquemin</cp:lastModifiedBy>
  <dcterms:created xsi:type="dcterms:W3CDTF">2023-05-10T11:58:31Z</dcterms:created>
  <dcterms:modified xsi:type="dcterms:W3CDTF">2023-10-18T09:01:27Z</dcterms:modified>
</cp:coreProperties>
</file>