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checkCompatibility="1" autoCompressPictures="0"/>
  <bookViews>
    <workbookView xWindow="1900" yWindow="0" windowWidth="25600" windowHeight="16060" tabRatio="500" firstSheet="3" activeTab="4"/>
  </bookViews>
  <sheets>
    <sheet name="COMPARAISON SIMPLIFIÉE" sheetId="3" r:id="rId1"/>
    <sheet name="ANALYSE COMPARATIVE DÉTAILLÉE" sheetId="2" r:id="rId2"/>
    <sheet name="ANALYSE PAR CRÉNEAUX HORAIRES" sheetId="1" r:id="rId3"/>
    <sheet name="COMPARAISON ANALYTIQUE PAR PAYS" sheetId="5" r:id="rId4"/>
    <sheet name="MÉTHODOLOGIE DE L'ANALYSE" sheetId="6" r:id="rId5"/>
    <sheet name="ANALYSE LINGUISTIQUE DU PROJET" sheetId="7" r:id="rId6"/>
    <sheet name="COMPARAISON DÉTAILLÉE BRUTE" sheetId="4" r:id="rId7"/>
    <sheet name="Sheet1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xlnm.Print_Area" localSheetId="1">'ANALYSE COMPARATIVE DÉTAILLÉE'!$A$1:$H$85</definedName>
    <definedName name="_xlnm.Print_Area" localSheetId="5">'ANALYSE LINGUISTIQUE DU PROJET'!$A$1:$H$23</definedName>
    <definedName name="_xlnm.Print_Area" localSheetId="2">'ANALYSE PAR CRÉNEAUX HORAIRES'!$A$1:$H$47</definedName>
    <definedName name="_xlnm.Print_Area" localSheetId="3">'COMPARAISON ANALYTIQUE PAR PAYS'!$A$1:$H$37</definedName>
    <definedName name="_xlnm.Print_Area" localSheetId="0">'COMPARAISON SIMPLIFIÉE'!$A$1:$F$16</definedName>
    <definedName name="_xlnm.Print_Area" localSheetId="4">'MÉTHODOLOGIE DE L''ANALYSE'!$A$1:$F$91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3" l="1"/>
  <c r="D15" i="3"/>
  <c r="C15" i="3"/>
  <c r="C55" i="6"/>
  <c r="C77" i="6"/>
  <c r="C83" i="6"/>
  <c r="C85" i="6"/>
  <c r="C87" i="6"/>
  <c r="C89" i="6"/>
  <c r="C10" i="6"/>
  <c r="C13" i="6"/>
  <c r="C14" i="6"/>
  <c r="C15" i="6"/>
  <c r="C16" i="6"/>
  <c r="C17" i="6"/>
  <c r="C18" i="6"/>
  <c r="C19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43" i="6"/>
  <c r="C44" i="6"/>
  <c r="C45" i="6"/>
  <c r="C46" i="6"/>
  <c r="C47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D76" i="6"/>
  <c r="D75" i="6"/>
  <c r="D74" i="6"/>
  <c r="D73" i="6"/>
  <c r="D72" i="6"/>
  <c r="D71" i="6"/>
  <c r="D70" i="6"/>
  <c r="D69" i="6"/>
  <c r="D68" i="6"/>
  <c r="D67" i="6"/>
  <c r="D65" i="6"/>
  <c r="D64" i="6"/>
  <c r="D63" i="6"/>
  <c r="D62" i="6"/>
  <c r="D61" i="6"/>
  <c r="D59" i="6"/>
  <c r="D57" i="6"/>
  <c r="D54" i="6"/>
  <c r="D53" i="6"/>
  <c r="D52" i="6"/>
  <c r="D51" i="6"/>
  <c r="F16" i="7"/>
  <c r="G11" i="7"/>
  <c r="G12" i="7"/>
  <c r="E16" i="7"/>
  <c r="D10" i="7"/>
  <c r="D18" i="7"/>
  <c r="E10" i="7"/>
  <c r="D19" i="7"/>
  <c r="F10" i="7"/>
  <c r="D20" i="7"/>
  <c r="C28" i="2"/>
  <c r="C29" i="2"/>
  <c r="C30" i="2"/>
  <c r="C34" i="2"/>
  <c r="C13" i="4"/>
  <c r="B9" i="7"/>
  <c r="C16" i="7"/>
  <c r="D21" i="2"/>
  <c r="D23" i="2"/>
  <c r="D28" i="2"/>
  <c r="D29" i="2"/>
  <c r="D30" i="2"/>
  <c r="D34" i="2"/>
  <c r="D13" i="4"/>
  <c r="C9" i="7"/>
  <c r="C17" i="7"/>
  <c r="E21" i="2"/>
  <c r="E23" i="2"/>
  <c r="E27" i="2"/>
  <c r="E28" i="2"/>
  <c r="E29" i="2"/>
  <c r="E30" i="2"/>
  <c r="E33" i="2"/>
  <c r="E34" i="2"/>
  <c r="E13" i="4"/>
  <c r="D9" i="7"/>
  <c r="C18" i="7"/>
  <c r="F20" i="2"/>
  <c r="F21" i="2"/>
  <c r="F22" i="2"/>
  <c r="F23" i="2"/>
  <c r="F24" i="2"/>
  <c r="F25" i="2"/>
  <c r="F26" i="2"/>
  <c r="F27" i="2"/>
  <c r="F28" i="2"/>
  <c r="F29" i="2"/>
  <c r="F30" i="2"/>
  <c r="F31" i="2"/>
  <c r="F33" i="2"/>
  <c r="F34" i="2"/>
  <c r="F13" i="4"/>
  <c r="E9" i="7"/>
  <c r="C19" i="7"/>
  <c r="G20" i="2"/>
  <c r="G22" i="2"/>
  <c r="G23" i="2"/>
  <c r="G24" i="2"/>
  <c r="G25" i="2"/>
  <c r="G26" i="2"/>
  <c r="G27" i="2"/>
  <c r="G31" i="2"/>
  <c r="G32" i="2"/>
  <c r="G33" i="2"/>
  <c r="G34" i="2"/>
  <c r="G13" i="4"/>
  <c r="F9" i="7"/>
  <c r="C20" i="7"/>
  <c r="C7" i="4"/>
  <c r="B8" i="7"/>
  <c r="B16" i="7"/>
  <c r="D7" i="4"/>
  <c r="C8" i="7"/>
  <c r="B17" i="7"/>
  <c r="E7" i="4"/>
  <c r="D8" i="7"/>
  <c r="B18" i="7"/>
  <c r="F7" i="4"/>
  <c r="E8" i="7"/>
  <c r="B19" i="7"/>
  <c r="G7" i="4"/>
  <c r="F8" i="7"/>
  <c r="B20" i="7"/>
  <c r="C10" i="1"/>
  <c r="C25" i="1"/>
  <c r="D10" i="1"/>
  <c r="D26" i="1"/>
  <c r="E10" i="1"/>
  <c r="E27" i="1"/>
  <c r="F10" i="1"/>
  <c r="F28" i="1"/>
  <c r="G10" i="1"/>
  <c r="G29" i="1"/>
  <c r="C12" i="1"/>
  <c r="C18" i="1"/>
  <c r="D12" i="1"/>
  <c r="D19" i="1"/>
  <c r="E12" i="1"/>
  <c r="E20" i="1"/>
  <c r="F12" i="1"/>
  <c r="F21" i="1"/>
  <c r="G12" i="1"/>
  <c r="G22" i="1"/>
  <c r="G33" i="1"/>
  <c r="F33" i="1"/>
  <c r="E32" i="1"/>
  <c r="D32" i="1"/>
  <c r="C32" i="1"/>
  <c r="G42" i="1"/>
  <c r="H12" i="1"/>
  <c r="H10" i="1"/>
  <c r="F42" i="1"/>
  <c r="E42" i="1"/>
  <c r="D41" i="1"/>
  <c r="C41" i="1"/>
  <c r="G8" i="7"/>
  <c r="G9" i="7"/>
  <c r="G10" i="7"/>
  <c r="G13" i="7"/>
  <c r="H8" i="7"/>
  <c r="H9" i="7"/>
  <c r="H10" i="7"/>
  <c r="H11" i="7"/>
  <c r="E7" i="6"/>
  <c r="D8" i="6"/>
  <c r="E8" i="6"/>
  <c r="D10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39" i="6"/>
  <c r="E39" i="6"/>
  <c r="D78" i="6"/>
  <c r="E81" i="6"/>
  <c r="E82" i="6"/>
  <c r="C91" i="6"/>
  <c r="C8" i="5"/>
  <c r="D8" i="5"/>
  <c r="E8" i="5"/>
  <c r="F8" i="5"/>
  <c r="G8" i="5"/>
  <c r="H8" i="5"/>
  <c r="C10" i="4"/>
  <c r="C22" i="4"/>
  <c r="C23" i="5"/>
  <c r="C9" i="5"/>
  <c r="D23" i="5"/>
  <c r="D9" i="5"/>
  <c r="E17" i="2"/>
  <c r="E9" i="2"/>
  <c r="E10" i="2"/>
  <c r="E11" i="2"/>
  <c r="E15" i="2"/>
  <c r="E43" i="2"/>
  <c r="E45" i="2"/>
  <c r="E22" i="4"/>
  <c r="E23" i="5"/>
  <c r="E9" i="5"/>
  <c r="F17" i="2"/>
  <c r="F9" i="2"/>
  <c r="F10" i="2"/>
  <c r="F12" i="2"/>
  <c r="F13" i="2"/>
  <c r="F15" i="2"/>
  <c r="F43" i="2"/>
  <c r="F45" i="2"/>
  <c r="F22" i="4"/>
  <c r="F23" i="5"/>
  <c r="F9" i="5"/>
  <c r="G17" i="2"/>
  <c r="G9" i="2"/>
  <c r="G10" i="2"/>
  <c r="G12" i="2"/>
  <c r="G13" i="2"/>
  <c r="G14" i="2"/>
  <c r="G15" i="2"/>
  <c r="G43" i="2"/>
  <c r="G45" i="2"/>
  <c r="G22" i="4"/>
  <c r="G23" i="5"/>
  <c r="G9" i="5"/>
  <c r="H23" i="5"/>
  <c r="H9" i="5"/>
  <c r="C11" i="5"/>
  <c r="D10" i="4"/>
  <c r="D11" i="5"/>
  <c r="E10" i="4"/>
  <c r="E11" i="5"/>
  <c r="F10" i="4"/>
  <c r="F11" i="5"/>
  <c r="G10" i="4"/>
  <c r="G11" i="5"/>
  <c r="H11" i="5"/>
  <c r="C12" i="5"/>
  <c r="D12" i="5"/>
  <c r="E12" i="5"/>
  <c r="F12" i="5"/>
  <c r="G12" i="5"/>
  <c r="H12" i="5"/>
  <c r="C14" i="5"/>
  <c r="D14" i="5"/>
  <c r="E14" i="5"/>
  <c r="F14" i="5"/>
  <c r="G14" i="5"/>
  <c r="H14" i="5"/>
  <c r="C15" i="5"/>
  <c r="D15" i="5"/>
  <c r="E15" i="5"/>
  <c r="F15" i="5"/>
  <c r="G15" i="5"/>
  <c r="H15" i="5"/>
  <c r="C17" i="5"/>
  <c r="H17" i="5"/>
  <c r="C18" i="5"/>
  <c r="H18" i="5"/>
  <c r="E20" i="5"/>
  <c r="F20" i="5"/>
  <c r="G20" i="5"/>
  <c r="H20" i="5"/>
  <c r="E21" i="5"/>
  <c r="F21" i="5"/>
  <c r="G21" i="5"/>
  <c r="H21" i="5"/>
  <c r="C27" i="4"/>
  <c r="C30" i="4"/>
  <c r="C33" i="4"/>
  <c r="C25" i="4"/>
  <c r="C26" i="5"/>
  <c r="D27" i="4"/>
  <c r="D30" i="4"/>
  <c r="D33" i="4"/>
  <c r="D25" i="4"/>
  <c r="D26" i="5"/>
  <c r="E27" i="4"/>
  <c r="E30" i="4"/>
  <c r="E33" i="4"/>
  <c r="E25" i="4"/>
  <c r="E26" i="5"/>
  <c r="F27" i="4"/>
  <c r="F30" i="4"/>
  <c r="F33" i="4"/>
  <c r="F25" i="4"/>
  <c r="F26" i="5"/>
  <c r="G27" i="4"/>
  <c r="G30" i="4"/>
  <c r="G33" i="4"/>
  <c r="G25" i="4"/>
  <c r="G26" i="5"/>
  <c r="H25" i="4"/>
  <c r="H26" i="5"/>
  <c r="C28" i="5"/>
  <c r="D28" i="5"/>
  <c r="E28" i="5"/>
  <c r="F28" i="5"/>
  <c r="G28" i="5"/>
  <c r="H30" i="4"/>
  <c r="H28" i="5"/>
  <c r="C31" i="5"/>
  <c r="D31" i="5"/>
  <c r="E31" i="5"/>
  <c r="F31" i="5"/>
  <c r="G31" i="5"/>
  <c r="H33" i="4"/>
  <c r="H31" i="5"/>
  <c r="C34" i="5"/>
  <c r="D34" i="5"/>
  <c r="E34" i="5"/>
  <c r="F34" i="5"/>
  <c r="G34" i="5"/>
  <c r="H34" i="5"/>
  <c r="C35" i="5"/>
  <c r="D35" i="5"/>
  <c r="E35" i="5"/>
  <c r="F35" i="5"/>
  <c r="G35" i="5"/>
  <c r="H35" i="5"/>
  <c r="F37" i="5"/>
  <c r="G37" i="5"/>
  <c r="C8" i="4"/>
  <c r="D8" i="4"/>
  <c r="E8" i="4"/>
  <c r="F8" i="4"/>
  <c r="G8" i="4"/>
  <c r="H22" i="4"/>
  <c r="H8" i="4"/>
  <c r="H10" i="4"/>
  <c r="C11" i="4"/>
  <c r="D11" i="4"/>
  <c r="E11" i="4"/>
  <c r="F11" i="4"/>
  <c r="G11" i="4"/>
  <c r="H11" i="4"/>
  <c r="H13" i="4"/>
  <c r="C14" i="4"/>
  <c r="D14" i="4"/>
  <c r="E14" i="4"/>
  <c r="F14" i="4"/>
  <c r="G14" i="4"/>
  <c r="H14" i="4"/>
  <c r="C17" i="4"/>
  <c r="H17" i="4"/>
  <c r="E19" i="4"/>
  <c r="F19" i="4"/>
  <c r="G19" i="4"/>
  <c r="E20" i="4"/>
  <c r="F20" i="4"/>
  <c r="G20" i="4"/>
  <c r="H20" i="4"/>
  <c r="H27" i="4"/>
  <c r="C28" i="4"/>
  <c r="D28" i="4"/>
  <c r="E28" i="4"/>
  <c r="F28" i="4"/>
  <c r="G28" i="4"/>
  <c r="H28" i="4"/>
  <c r="C31" i="4"/>
  <c r="D31" i="4"/>
  <c r="E31" i="4"/>
  <c r="F31" i="4"/>
  <c r="G31" i="4"/>
  <c r="H31" i="4"/>
  <c r="C34" i="4"/>
  <c r="D34" i="4"/>
  <c r="E34" i="4"/>
  <c r="F34" i="4"/>
  <c r="G34" i="4"/>
  <c r="H34" i="4"/>
  <c r="F36" i="4"/>
  <c r="G36" i="4"/>
  <c r="C17" i="2"/>
  <c r="C9" i="2"/>
  <c r="C11" i="2"/>
  <c r="C15" i="2"/>
  <c r="C36" i="2"/>
  <c r="C45" i="2"/>
  <c r="C71" i="2"/>
  <c r="D17" i="2"/>
  <c r="D9" i="2"/>
  <c r="D11" i="2"/>
  <c r="D15" i="2"/>
  <c r="D45" i="2"/>
  <c r="D72" i="2"/>
  <c r="E73" i="2"/>
  <c r="F74" i="2"/>
  <c r="G75" i="2"/>
  <c r="C49" i="2"/>
  <c r="D49" i="2"/>
  <c r="D65" i="2"/>
  <c r="E49" i="2"/>
  <c r="E66" i="2"/>
  <c r="F49" i="2"/>
  <c r="F67" i="2"/>
  <c r="G49" i="2"/>
  <c r="G68" i="2"/>
  <c r="H15" i="2"/>
  <c r="H17" i="2"/>
  <c r="H34" i="2"/>
  <c r="H36" i="2"/>
  <c r="E39" i="2"/>
  <c r="F39" i="2"/>
  <c r="G39" i="2"/>
  <c r="G40" i="2"/>
  <c r="G41" i="2"/>
  <c r="H43" i="2"/>
  <c r="H45" i="2"/>
  <c r="H49" i="2"/>
  <c r="C55" i="2"/>
  <c r="D55" i="2"/>
  <c r="E56" i="2"/>
  <c r="F56" i="2"/>
  <c r="G56" i="2"/>
  <c r="C59" i="2"/>
  <c r="D59" i="2"/>
  <c r="E60" i="2"/>
  <c r="F60" i="2"/>
  <c r="G60" i="2"/>
  <c r="C64" i="2"/>
  <c r="C78" i="2"/>
  <c r="D78" i="2"/>
  <c r="E78" i="2"/>
  <c r="F79" i="2"/>
  <c r="G79" i="2"/>
  <c r="C82" i="2"/>
  <c r="D82" i="2"/>
  <c r="E82" i="2"/>
  <c r="F83" i="2"/>
  <c r="G83" i="2"/>
</calcChain>
</file>

<file path=xl/sharedStrings.xml><?xml version="1.0" encoding="utf-8"?>
<sst xmlns="http://schemas.openxmlformats.org/spreadsheetml/2006/main" count="321" uniqueCount="167">
  <si>
    <t>2.31 - 3.00</t>
  </si>
  <si>
    <t>2.01 - 2.30</t>
  </si>
  <si>
    <t>1.31 - 2.00</t>
  </si>
  <si>
    <t>1.01 - 1.30</t>
  </si>
  <si>
    <t>0 - 1.00</t>
  </si>
  <si>
    <t>Avantage Differdange</t>
  </si>
  <si>
    <t>Avantage Winterthur</t>
  </si>
  <si>
    <t>Pourcentage</t>
  </si>
  <si>
    <t>Habitants</t>
  </si>
  <si>
    <t xml:space="preserve">     0 - 1.00</t>
  </si>
  <si>
    <t>Cumulatif Differdange</t>
  </si>
  <si>
    <t>Cumulatif Winterthur</t>
  </si>
  <si>
    <t>Différence cumulative</t>
  </si>
  <si>
    <t>COMPARAISON</t>
  </si>
  <si>
    <t>TOTAL WINTERTHUR</t>
  </si>
  <si>
    <t>TOTAL DIFFERDANGE</t>
  </si>
  <si>
    <t>Total Pays-Bas</t>
  </si>
  <si>
    <t>Zeeland</t>
  </si>
  <si>
    <t>Noord-Brabant</t>
  </si>
  <si>
    <t>Limburg</t>
  </si>
  <si>
    <t>PAYS-BAS</t>
  </si>
  <si>
    <t>LUXEMBOURG</t>
  </si>
  <si>
    <t>Total France</t>
  </si>
  <si>
    <t>Vosges</t>
  </si>
  <si>
    <t>Seine &amp; Marne</t>
  </si>
  <si>
    <t>Nord</t>
  </si>
  <si>
    <t>Moselle</t>
  </si>
  <si>
    <t>Meuse</t>
  </si>
  <si>
    <t>Meurthe &amp; Moselle</t>
  </si>
  <si>
    <t>Marne</t>
  </si>
  <si>
    <t>Haute Saône</t>
  </si>
  <si>
    <t>Haute Marne</t>
  </si>
  <si>
    <t>Haut Rhin</t>
  </si>
  <si>
    <t>Bas-Rhin</t>
  </si>
  <si>
    <t>Aube</t>
  </si>
  <si>
    <t>Ardennes</t>
  </si>
  <si>
    <t>Aisne</t>
  </si>
  <si>
    <t>FRANCE</t>
  </si>
  <si>
    <t>BELGIQUE</t>
  </si>
  <si>
    <t>Total Allemagne</t>
  </si>
  <si>
    <t>Bayern</t>
  </si>
  <si>
    <t>Hessen</t>
  </si>
  <si>
    <t>Baden Württemberg</t>
  </si>
  <si>
    <t>Saarland</t>
  </si>
  <si>
    <t>Nordrhein Westfalen</t>
  </si>
  <si>
    <t>Rheinland Pfalz</t>
  </si>
  <si>
    <t>ALLEMAGNE</t>
  </si>
  <si>
    <t>Total</t>
  </si>
  <si>
    <t>Fuseaux horaires</t>
  </si>
  <si>
    <t>Comparaison Population de Chalandise Differdange - Winterthur</t>
  </si>
  <si>
    <t>POPULATION DANS LES ZONES DE CHALANDISE RESPECTIVES EN TEMPS DE PARCOURS EN VOITURE</t>
  </si>
  <si>
    <t>Pourcentage par créneau horaire</t>
  </si>
  <si>
    <t>AUTRICHE</t>
  </si>
  <si>
    <t>SUISSE</t>
  </si>
  <si>
    <t>Pourcentage par fuseau horaire</t>
  </si>
  <si>
    <t>Créneau horaire</t>
  </si>
  <si>
    <t>(En chiffres arrondis)</t>
  </si>
  <si>
    <t>Comparaison des Populations de Chalandise Differdange - Winterthur par Pays et Créneau Horaire</t>
  </si>
  <si>
    <t>Total Etude</t>
  </si>
  <si>
    <t>Total Winterthur</t>
  </si>
  <si>
    <t>ITALIE</t>
  </si>
  <si>
    <t>Bavière</t>
  </si>
  <si>
    <t>Bade-Wurtemberg</t>
  </si>
  <si>
    <t>Moyenne</t>
  </si>
  <si>
    <t>DISTRICTS COMMUNAUX</t>
  </si>
  <si>
    <t>Jura (JU)</t>
  </si>
  <si>
    <t>Genf (GE)</t>
  </si>
  <si>
    <t>Neuenburg (NE)</t>
  </si>
  <si>
    <t>Wallis (VS)</t>
  </si>
  <si>
    <t>Waadt (VD)</t>
  </si>
  <si>
    <t>Tessin (TI)</t>
  </si>
  <si>
    <t>Thurgau (TG)</t>
  </si>
  <si>
    <t>Aargau (AG)</t>
  </si>
  <si>
    <t>Graubünden (GR)</t>
  </si>
  <si>
    <t>St. Gallen (SG)</t>
  </si>
  <si>
    <t>Appenzell Innerrhoden (AI)</t>
  </si>
  <si>
    <t>Appenzell Ausserrhoden (AR)</t>
  </si>
  <si>
    <t>Schaffhausen (SH)</t>
  </si>
  <si>
    <t>Basel-Landschaft (BL)</t>
  </si>
  <si>
    <t>Basel-Stadt (BS)</t>
  </si>
  <si>
    <t>Solothurn (SO)</t>
  </si>
  <si>
    <t>Freiburg (FR)</t>
  </si>
  <si>
    <t>Zug (ZG)</t>
  </si>
  <si>
    <t>Glarus (GL)</t>
  </si>
  <si>
    <t>Nidwalden (NW)</t>
  </si>
  <si>
    <t>Obwalden (OW)</t>
  </si>
  <si>
    <t>Schwyz (SZ)</t>
  </si>
  <si>
    <t>Uri (UR)</t>
  </si>
  <si>
    <t>Luzern (LU)</t>
  </si>
  <si>
    <t>Bern (BE)</t>
  </si>
  <si>
    <t>Zürich (ZH)</t>
  </si>
  <si>
    <t>Total Differdange</t>
  </si>
  <si>
    <t>Lorraine</t>
  </si>
  <si>
    <t>Île-de-France</t>
  </si>
  <si>
    <t>Seine-et-Marne</t>
  </si>
  <si>
    <t>Nord-Pas-de-Calais</t>
  </si>
  <si>
    <t>Meurthe-et-Moselle</t>
  </si>
  <si>
    <t>Champagne-Ardenne</t>
  </si>
  <si>
    <t>Haute-Marne</t>
  </si>
  <si>
    <t>Franche-Comté</t>
  </si>
  <si>
    <t>Haute-Saône</t>
  </si>
  <si>
    <t>Alsace</t>
  </si>
  <si>
    <t>Haut-Rhin</t>
  </si>
  <si>
    <t>Picardie</t>
  </si>
  <si>
    <t>Plus petite entité détaillée</t>
  </si>
  <si>
    <t>Région</t>
  </si>
  <si>
    <t>Département</t>
  </si>
  <si>
    <t>Nordrhein-Westfalen</t>
  </si>
  <si>
    <t>Bruxelles Capitale</t>
  </si>
  <si>
    <t>Fandres</t>
  </si>
  <si>
    <t>Wallonie</t>
  </si>
  <si>
    <t>Autres</t>
  </si>
  <si>
    <t>Luxembourgeois</t>
  </si>
  <si>
    <t>Neerlandais</t>
  </si>
  <si>
    <t>Francais</t>
  </si>
  <si>
    <t>Allemand</t>
  </si>
  <si>
    <t>%</t>
  </si>
  <si>
    <t>1.31 - 2</t>
  </si>
  <si>
    <t>0 - 1</t>
  </si>
  <si>
    <t>Différence par créneau horaire</t>
  </si>
  <si>
    <t>Créneau Horaire</t>
  </si>
  <si>
    <t>Créneaux horaires</t>
  </si>
  <si>
    <t>Comparaison des Populations de Chalandise Differdange - Winterthur</t>
  </si>
  <si>
    <t>Luxembourg Science Center: Étude de Marché</t>
  </si>
  <si>
    <t>Population de la Chalandise de Differdange: Analyse linguistique</t>
  </si>
  <si>
    <t>Statistiques analytiques de l'Ėtude</t>
  </si>
  <si>
    <t>Nombre d'entitées géographiques examinées</t>
  </si>
  <si>
    <t>Pourcentage détaillé</t>
  </si>
  <si>
    <t>LUXEMBOURG SCIENCE CENTER</t>
  </si>
  <si>
    <t>TECHNORAMA WINTERTHUR</t>
  </si>
  <si>
    <t>EN POPULATION</t>
  </si>
  <si>
    <t>POURCENTAGE</t>
  </si>
  <si>
    <t>CRENEAUX HORAIRES PRIS INDIVIDUELLEMENT</t>
  </si>
  <si>
    <t>Winterthur</t>
  </si>
  <si>
    <t>1.30 HEURES</t>
  </si>
  <si>
    <t>1.00 HEURE</t>
  </si>
  <si>
    <t>3.00 HEURES</t>
  </si>
  <si>
    <t>2.30 HEURES</t>
  </si>
  <si>
    <t>2.00 HEURES</t>
  </si>
  <si>
    <t>Differdange</t>
  </si>
  <si>
    <t xml:space="preserve"> 1.00 HEURE </t>
  </si>
  <si>
    <t xml:space="preserve"> 1.30 HEURES </t>
  </si>
  <si>
    <t xml:space="preserve"> 2.00 HEURES </t>
  </si>
  <si>
    <t xml:space="preserve"> 2.30 HEURES </t>
  </si>
  <si>
    <t xml:space="preserve"> 3.00 HEURES </t>
  </si>
  <si>
    <t>Population</t>
  </si>
  <si>
    <t>TOTAL</t>
  </si>
  <si>
    <t>POPULATION PAR TEMPS DE TRAJET</t>
  </si>
  <si>
    <t>analyse comparative</t>
  </si>
  <si>
    <t xml:space="preserve">population recensée par créneau horaire </t>
  </si>
  <si>
    <t>Créneaux Horaires</t>
  </si>
  <si>
    <t>(en chiffres arrondis)</t>
  </si>
  <si>
    <t xml:space="preserve">ANALYSE COMPARATIVE DES POPULATIONS RECENSEES PAR CRENEAU HORAIRE DE DIFFERDANGE ET DE WINTERTHUR </t>
  </si>
  <si>
    <t>Distribution par créneau horaire</t>
  </si>
  <si>
    <t>Distribution par longueur de trajet</t>
  </si>
  <si>
    <t>1.1.1.   Analyse comparative détaillée</t>
  </si>
  <si>
    <r>
      <t>1.1.2.</t>
    </r>
    <r>
      <rPr>
        <b/>
        <sz val="16"/>
        <color theme="1"/>
        <rFont val="Times New Roman"/>
      </rPr>
      <t xml:space="preserve">   </t>
    </r>
    <r>
      <rPr>
        <b/>
        <sz val="16"/>
        <color theme="1"/>
        <rFont val="Arial"/>
      </rPr>
      <t>Analyse par créneaux horaires</t>
    </r>
  </si>
  <si>
    <r>
      <t>1.1.3.</t>
    </r>
    <r>
      <rPr>
        <b/>
        <sz val="16"/>
        <color theme="1"/>
        <rFont val="Times New Roman"/>
      </rPr>
      <t xml:space="preserve">   </t>
    </r>
    <r>
      <rPr>
        <b/>
        <sz val="16"/>
        <color theme="1"/>
        <rFont val="Arial"/>
      </rPr>
      <t>Comparaison analytique par pays</t>
    </r>
  </si>
  <si>
    <r>
      <t>1.1.4.</t>
    </r>
    <r>
      <rPr>
        <b/>
        <sz val="16"/>
        <color theme="1"/>
        <rFont val="Times New Roman"/>
      </rPr>
      <t xml:space="preserve">   </t>
    </r>
    <r>
      <rPr>
        <b/>
        <sz val="16"/>
        <color theme="1"/>
        <rFont val="Arial"/>
      </rPr>
      <t>Méthodologie de la collecte des données</t>
    </r>
  </si>
  <si>
    <r>
      <t>1.1.5.</t>
    </r>
    <r>
      <rPr>
        <b/>
        <sz val="16"/>
        <color theme="1"/>
        <rFont val="Times New Roman"/>
      </rPr>
      <t xml:space="preserve">   </t>
    </r>
    <r>
      <rPr>
        <b/>
        <sz val="16"/>
        <color theme="1"/>
        <rFont val="Arial"/>
      </rPr>
      <t>Analyse linguistique des populations du Projet</t>
    </r>
  </si>
  <si>
    <r>
      <t>1.1.</t>
    </r>
    <r>
      <rPr>
        <b/>
        <sz val="16"/>
        <color theme="1"/>
        <rFont val="Times New Roman"/>
      </rPr>
      <t xml:space="preserve"> </t>
    </r>
    <r>
      <rPr>
        <b/>
        <sz val="16"/>
        <color theme="1"/>
        <rFont val="Arial"/>
      </rPr>
      <t>Tableau simplifié</t>
    </r>
  </si>
  <si>
    <t>Heures de Trajet</t>
  </si>
  <si>
    <t>Avantage (+) / Désavantage Differdange</t>
  </si>
  <si>
    <t>En Pourcent</t>
  </si>
  <si>
    <t>2.30 Heures</t>
  </si>
  <si>
    <t>2.00 Heures</t>
  </si>
  <si>
    <t>3.00 Heures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</si>
</sst>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  <font>
      <sz val="14"/>
      <color theme="1"/>
      <name val="Calibri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b/>
      <sz val="16"/>
      <color theme="1"/>
      <name val="Calibri"/>
      <scheme val="minor"/>
    </font>
    <font>
      <b/>
      <sz val="16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Calibri"/>
      <scheme val="minor"/>
    </font>
    <font>
      <sz val="12"/>
      <color theme="1"/>
      <name val="Arial"/>
    </font>
    <font>
      <b/>
      <sz val="16"/>
      <color theme="1"/>
      <name val="Arial"/>
    </font>
    <font>
      <b/>
      <sz val="16"/>
      <color theme="1"/>
      <name val="Times New Roman"/>
    </font>
    <font>
      <b/>
      <sz val="20"/>
      <color rgb="FF000000"/>
      <name val="Arial"/>
    </font>
    <font>
      <b/>
      <sz val="16"/>
      <color rgb="FF000000"/>
      <name val="Arial"/>
    </font>
    <font>
      <b/>
      <sz val="14"/>
      <color theme="1"/>
      <name val="Arial"/>
    </font>
    <font>
      <b/>
      <sz val="14"/>
      <color theme="1"/>
      <name val="Calibri"/>
    </font>
    <font>
      <sz val="14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7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87">
    <xf numFmtId="0" fontId="0" fillId="0" borderId="0" xfId="0"/>
    <xf numFmtId="0" fontId="0" fillId="2" borderId="1" xfId="0" applyFill="1" applyBorder="1" applyAlignment="1">
      <alignment horizontal="center" vertical="center"/>
    </xf>
    <xf numFmtId="16" fontId="0" fillId="2" borderId="1" xfId="0" quotePrefix="1" applyNumberFormat="1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164" fontId="0" fillId="0" borderId="0" xfId="2" applyNumberFormat="1" applyFont="1"/>
    <xf numFmtId="165" fontId="0" fillId="0" borderId="0" xfId="0" applyNumberFormat="1"/>
    <xf numFmtId="43" fontId="0" fillId="0" borderId="0" xfId="0" applyNumberFormat="1"/>
    <xf numFmtId="0" fontId="0" fillId="0" borderId="1" xfId="0" applyFill="1" applyBorder="1" applyAlignment="1">
      <alignment horizontal="center" vertical="center"/>
    </xf>
    <xf numFmtId="16" fontId="0" fillId="0" borderId="1" xfId="0" quotePrefix="1" applyNumberForma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3" fillId="2" borderId="0" xfId="0" applyFont="1" applyFill="1"/>
    <xf numFmtId="164" fontId="0" fillId="0" borderId="0" xfId="0" applyNumberFormat="1"/>
    <xf numFmtId="0" fontId="2" fillId="0" borderId="0" xfId="0" applyFont="1"/>
    <xf numFmtId="165" fontId="0" fillId="0" borderId="0" xfId="1" applyNumberFormat="1" applyFont="1"/>
    <xf numFmtId="165" fontId="0" fillId="3" borderId="0" xfId="0" applyNumberFormat="1" applyFill="1"/>
    <xf numFmtId="0" fontId="2" fillId="3" borderId="0" xfId="0" applyFont="1" applyFill="1"/>
    <xf numFmtId="165" fontId="0" fillId="0" borderId="0" xfId="0" applyNumberFormat="1" applyFill="1" applyBorder="1"/>
    <xf numFmtId="165" fontId="0" fillId="0" borderId="0" xfId="1" applyNumberFormat="1" applyFont="1" applyBorder="1"/>
    <xf numFmtId="0" fontId="0" fillId="0" borderId="0" xfId="0" applyBorder="1"/>
    <xf numFmtId="0" fontId="2" fillId="0" borderId="0" xfId="0" applyFont="1" applyFill="1"/>
    <xf numFmtId="165" fontId="0" fillId="3" borderId="2" xfId="0" applyNumberFormat="1" applyFill="1" applyBorder="1"/>
    <xf numFmtId="165" fontId="0" fillId="0" borderId="2" xfId="1" applyNumberFormat="1" applyFont="1" applyBorder="1"/>
    <xf numFmtId="0" fontId="0" fillId="0" borderId="2" xfId="0" applyBorder="1"/>
    <xf numFmtId="165" fontId="0" fillId="0" borderId="2" xfId="0" applyNumberFormat="1" applyFill="1" applyBorder="1"/>
    <xf numFmtId="0" fontId="2" fillId="0" borderId="2" xfId="0" applyFont="1" applyFill="1" applyBorder="1"/>
    <xf numFmtId="165" fontId="0" fillId="0" borderId="0" xfId="0" applyNumberFormat="1" applyFill="1"/>
    <xf numFmtId="0" fontId="0" fillId="0" borderId="0" xfId="0" applyFont="1" applyFill="1"/>
    <xf numFmtId="0" fontId="0" fillId="0" borderId="0" xfId="0" applyFill="1" applyBorder="1" applyAlignment="1">
      <alignment horizontal="center" vertical="center"/>
    </xf>
    <xf numFmtId="16" fontId="0" fillId="0" borderId="0" xfId="0" quotePrefix="1" applyNumberFormat="1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165" fontId="0" fillId="0" borderId="3" xfId="1" applyNumberFormat="1" applyFont="1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9" fontId="6" fillId="0" borderId="0" xfId="2" applyFont="1" applyBorder="1" applyAlignment="1">
      <alignment horizontal="center"/>
    </xf>
    <xf numFmtId="9" fontId="6" fillId="0" borderId="0" xfId="2" applyNumberFormat="1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7" fillId="0" borderId="0" xfId="0" applyFont="1"/>
    <xf numFmtId="0" fontId="8" fillId="0" borderId="0" xfId="0" applyFont="1"/>
    <xf numFmtId="9" fontId="8" fillId="0" borderId="0" xfId="2" applyFont="1" applyAlignment="1">
      <alignment horizontal="center"/>
    </xf>
    <xf numFmtId="9" fontId="0" fillId="0" borderId="0" xfId="2" applyFont="1" applyAlignment="1">
      <alignment horizontal="center"/>
    </xf>
    <xf numFmtId="9" fontId="8" fillId="0" borderId="0" xfId="2" applyNumberFormat="1" applyFont="1" applyAlignment="1">
      <alignment horizontal="center"/>
    </xf>
    <xf numFmtId="165" fontId="0" fillId="4" borderId="4" xfId="0" applyNumberFormat="1" applyFill="1" applyBorder="1"/>
    <xf numFmtId="0" fontId="0" fillId="4" borderId="3" xfId="0" applyFill="1" applyBorder="1"/>
    <xf numFmtId="0" fontId="0" fillId="5" borderId="3" xfId="0" applyFill="1" applyBorder="1"/>
    <xf numFmtId="0" fontId="0" fillId="5" borderId="5" xfId="0" applyFill="1" applyBorder="1"/>
    <xf numFmtId="165" fontId="0" fillId="4" borderId="6" xfId="0" applyNumberFormat="1" applyFill="1" applyBorder="1"/>
    <xf numFmtId="165" fontId="0" fillId="4" borderId="0" xfId="1" applyNumberFormat="1" applyFont="1" applyFill="1" applyBorder="1"/>
    <xf numFmtId="0" fontId="0" fillId="0" borderId="7" xfId="0" applyBorder="1"/>
    <xf numFmtId="9" fontId="8" fillId="4" borderId="6" xfId="2" applyFont="1" applyFill="1" applyBorder="1" applyAlignment="1">
      <alignment horizontal="left" indent="3"/>
    </xf>
    <xf numFmtId="9" fontId="8" fillId="0" borderId="0" xfId="2" applyFont="1" applyBorder="1" applyAlignment="1">
      <alignment horizontal="left" indent="3"/>
    </xf>
    <xf numFmtId="9" fontId="8" fillId="4" borderId="0" xfId="2" applyFont="1" applyFill="1" applyBorder="1" applyAlignment="1">
      <alignment horizontal="left" indent="3"/>
    </xf>
    <xf numFmtId="0" fontId="7" fillId="0" borderId="7" xfId="0" applyFont="1" applyBorder="1"/>
    <xf numFmtId="165" fontId="0" fillId="5" borderId="6" xfId="0" applyNumberFormat="1" applyFill="1" applyBorder="1"/>
    <xf numFmtId="0" fontId="0" fillId="5" borderId="0" xfId="0" applyFill="1" applyBorder="1"/>
    <xf numFmtId="0" fontId="0" fillId="5" borderId="7" xfId="0" applyFill="1" applyBorder="1"/>
    <xf numFmtId="9" fontId="8" fillId="4" borderId="6" xfId="1" applyNumberFormat="1" applyFont="1" applyFill="1" applyBorder="1" applyAlignment="1">
      <alignment horizontal="left" indent="3"/>
    </xf>
    <xf numFmtId="9" fontId="8" fillId="0" borderId="0" xfId="1" applyNumberFormat="1" applyFont="1" applyBorder="1" applyAlignment="1">
      <alignment horizontal="left" indent="3"/>
    </xf>
    <xf numFmtId="9" fontId="8" fillId="4" borderId="0" xfId="1" applyNumberFormat="1" applyFont="1" applyFill="1" applyBorder="1" applyAlignment="1">
      <alignment horizontal="left" indent="3"/>
    </xf>
    <xf numFmtId="0" fontId="8" fillId="0" borderId="0" xfId="0" applyFont="1" applyBorder="1"/>
    <xf numFmtId="0" fontId="8" fillId="0" borderId="7" xfId="0" applyFont="1" applyBorder="1"/>
    <xf numFmtId="165" fontId="0" fillId="5" borderId="6" xfId="1" applyNumberFormat="1" applyFont="1" applyFill="1" applyBorder="1"/>
    <xf numFmtId="165" fontId="0" fillId="4" borderId="6" xfId="1" applyNumberFormat="1" applyFont="1" applyFill="1" applyBorder="1"/>
    <xf numFmtId="165" fontId="0" fillId="5" borderId="8" xfId="1" applyNumberFormat="1" applyFont="1" applyFill="1" applyBorder="1"/>
    <xf numFmtId="165" fontId="0" fillId="0" borderId="9" xfId="1" applyNumberFormat="1" applyFont="1" applyBorder="1"/>
    <xf numFmtId="165" fontId="0" fillId="4" borderId="9" xfId="1" applyNumberFormat="1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165" fontId="0" fillId="5" borderId="4" xfId="1" applyNumberFormat="1" applyFont="1" applyFill="1" applyBorder="1"/>
    <xf numFmtId="165" fontId="0" fillId="4" borderId="3" xfId="1" applyNumberFormat="1" applyFont="1" applyFill="1" applyBorder="1"/>
    <xf numFmtId="0" fontId="2" fillId="5" borderId="3" xfId="0" applyFont="1" applyFill="1" applyBorder="1"/>
    <xf numFmtId="0" fontId="2" fillId="5" borderId="5" xfId="0" applyFont="1" applyFill="1" applyBorder="1"/>
    <xf numFmtId="165" fontId="0" fillId="4" borderId="0" xfId="1" applyNumberFormat="1" applyFont="1" applyFill="1" applyBorder="1" applyAlignment="1">
      <alignment horizontal="left" indent="3"/>
    </xf>
    <xf numFmtId="165" fontId="0" fillId="0" borderId="0" xfId="1" applyNumberFormat="1" applyFont="1" applyBorder="1" applyAlignment="1">
      <alignment horizontal="left" indent="3"/>
    </xf>
    <xf numFmtId="9" fontId="8" fillId="4" borderId="6" xfId="2" applyNumberFormat="1" applyFont="1" applyFill="1" applyBorder="1" applyAlignment="1">
      <alignment horizontal="left" indent="3"/>
    </xf>
    <xf numFmtId="9" fontId="8" fillId="0" borderId="0" xfId="2" applyNumberFormat="1" applyFont="1" applyBorder="1" applyAlignment="1">
      <alignment horizontal="left" indent="3"/>
    </xf>
    <xf numFmtId="9" fontId="8" fillId="4" borderId="0" xfId="2" applyNumberFormat="1" applyFont="1" applyFill="1" applyBorder="1" applyAlignment="1">
      <alignment horizontal="left" indent="3"/>
    </xf>
    <xf numFmtId="165" fontId="0" fillId="5" borderId="8" xfId="1" applyNumberFormat="1" applyFont="1" applyFill="1" applyBorder="1" applyAlignment="1"/>
    <xf numFmtId="165" fontId="0" fillId="0" borderId="9" xfId="1" applyNumberFormat="1" applyFont="1" applyBorder="1" applyAlignment="1"/>
    <xf numFmtId="165" fontId="0" fillId="4" borderId="9" xfId="1" applyNumberFormat="1" applyFont="1" applyFill="1" applyBorder="1" applyAlignment="1"/>
    <xf numFmtId="165" fontId="0" fillId="0" borderId="9" xfId="1" applyNumberFormat="1" applyFont="1" applyBorder="1" applyAlignment="1">
      <alignment horizontal="center"/>
    </xf>
    <xf numFmtId="0" fontId="0" fillId="5" borderId="9" xfId="0" applyFill="1" applyBorder="1"/>
    <xf numFmtId="0" fontId="0" fillId="5" borderId="10" xfId="0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Font="1"/>
    <xf numFmtId="9" fontId="0" fillId="0" borderId="2" xfId="0" applyNumberFormat="1" applyBorder="1"/>
    <xf numFmtId="9" fontId="0" fillId="0" borderId="0" xfId="0" applyNumberFormat="1"/>
    <xf numFmtId="0" fontId="0" fillId="0" borderId="0" xfId="0" applyFill="1" applyBorder="1"/>
    <xf numFmtId="9" fontId="0" fillId="0" borderId="0" xfId="4" applyFont="1"/>
    <xf numFmtId="165" fontId="0" fillId="0" borderId="0" xfId="3" applyNumberFormat="1" applyFont="1"/>
    <xf numFmtId="164" fontId="0" fillId="0" borderId="0" xfId="4" applyNumberFormat="1" applyFont="1"/>
    <xf numFmtId="0" fontId="0" fillId="0" borderId="0" xfId="0" applyAlignment="1">
      <alignment horizontal="right"/>
    </xf>
    <xf numFmtId="164" fontId="0" fillId="0" borderId="2" xfId="4" applyNumberFormat="1" applyFont="1" applyBorder="1"/>
    <xf numFmtId="0" fontId="0" fillId="0" borderId="2" xfId="0" applyBorder="1" applyAlignment="1">
      <alignment horizontal="right"/>
    </xf>
    <xf numFmtId="165" fontId="0" fillId="0" borderId="2" xfId="0" applyNumberFormat="1" applyBorder="1"/>
    <xf numFmtId="0" fontId="6" fillId="0" borderId="0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horizontal="center" textRotation="60"/>
    </xf>
    <xf numFmtId="165" fontId="0" fillId="0" borderId="0" xfId="1" applyNumberFormat="1" applyFont="1" applyAlignment="1">
      <alignment horizontal="right"/>
    </xf>
    <xf numFmtId="0" fontId="2" fillId="5" borderId="11" xfId="0" applyFont="1" applyFill="1" applyBorder="1" applyAlignment="1">
      <alignment horizontal="center" vertical="center"/>
    </xf>
    <xf numFmtId="165" fontId="2" fillId="5" borderId="11" xfId="0" applyNumberFormat="1" applyFont="1" applyFill="1" applyBorder="1" applyAlignment="1">
      <alignment vertical="center"/>
    </xf>
    <xf numFmtId="0" fontId="0" fillId="4" borderId="0" xfId="0" applyFill="1" applyAlignment="1">
      <alignment vertical="center"/>
    </xf>
    <xf numFmtId="165" fontId="0" fillId="4" borderId="0" xfId="1" applyNumberFormat="1" applyFont="1" applyFill="1" applyAlignment="1">
      <alignment vertical="center"/>
    </xf>
    <xf numFmtId="0" fontId="0" fillId="3" borderId="1" xfId="0" applyFill="1" applyBorder="1" applyAlignment="1">
      <alignment horizontal="center"/>
    </xf>
    <xf numFmtId="164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65" fontId="0" fillId="4" borderId="0" xfId="0" applyNumberFormat="1" applyFill="1" applyAlignment="1">
      <alignment vertical="center"/>
    </xf>
    <xf numFmtId="0" fontId="0" fillId="4" borderId="1" xfId="0" quotePrefix="1" applyFill="1" applyBorder="1" applyAlignment="1">
      <alignment horizontal="center" vertical="center"/>
    </xf>
    <xf numFmtId="16" fontId="0" fillId="4" borderId="1" xfId="0" quotePrefix="1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16" fontId="0" fillId="5" borderId="1" xfId="0" quotePrefix="1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165" fontId="0" fillId="5" borderId="0" xfId="1" applyNumberFormat="1" applyFont="1" applyFill="1"/>
    <xf numFmtId="165" fontId="0" fillId="5" borderId="9" xfId="1" applyNumberFormat="1" applyFont="1" applyFill="1" applyBorder="1"/>
    <xf numFmtId="165" fontId="0" fillId="0" borderId="7" xfId="1" applyNumberFormat="1" applyFont="1" applyBorder="1"/>
    <xf numFmtId="165" fontId="0" fillId="5" borderId="0" xfId="1" applyNumberFormat="1" applyFont="1" applyFill="1" applyBorder="1"/>
    <xf numFmtId="9" fontId="0" fillId="0" borderId="0" xfId="2" applyFont="1" applyBorder="1"/>
    <xf numFmtId="9" fontId="0" fillId="5" borderId="0" xfId="2" applyFont="1" applyFill="1" applyBorder="1"/>
    <xf numFmtId="165" fontId="0" fillId="0" borderId="0" xfId="1" applyNumberFormat="1" applyFont="1" applyBorder="1" applyAlignment="1">
      <alignment horizontal="center"/>
    </xf>
    <xf numFmtId="165" fontId="0" fillId="0" borderId="0" xfId="1" quotePrefix="1" applyNumberFormat="1" applyFont="1" applyBorder="1" applyAlignment="1">
      <alignment horizontal="center"/>
    </xf>
    <xf numFmtId="9" fontId="0" fillId="0" borderId="0" xfId="2" applyFont="1" applyBorder="1" applyAlignment="1">
      <alignment horizontal="center"/>
    </xf>
    <xf numFmtId="9" fontId="0" fillId="5" borderId="0" xfId="2" applyFont="1" applyFill="1" applyBorder="1" applyAlignment="1">
      <alignment horizontal="center"/>
    </xf>
    <xf numFmtId="165" fontId="0" fillId="6" borderId="0" xfId="1" applyNumberFormat="1" applyFont="1" applyFill="1" applyBorder="1"/>
    <xf numFmtId="165" fontId="0" fillId="6" borderId="0" xfId="1" applyNumberFormat="1" applyFont="1" applyFill="1" applyBorder="1" applyAlignment="1">
      <alignment horizontal="center"/>
    </xf>
    <xf numFmtId="165" fontId="0" fillId="6" borderId="5" xfId="1" applyNumberFormat="1" applyFont="1" applyFill="1" applyBorder="1"/>
    <xf numFmtId="165" fontId="0" fillId="6" borderId="3" xfId="1" applyNumberFormat="1" applyFont="1" applyFill="1" applyBorder="1"/>
    <xf numFmtId="9" fontId="0" fillId="6" borderId="3" xfId="2" applyFont="1" applyFill="1" applyBorder="1" applyAlignment="1">
      <alignment horizontal="center"/>
    </xf>
    <xf numFmtId="165" fontId="13" fillId="0" borderId="0" xfId="0" applyNumberFormat="1" applyFont="1" applyBorder="1" applyAlignment="1">
      <alignment horizontal="center"/>
    </xf>
    <xf numFmtId="165" fontId="13" fillId="6" borderId="0" xfId="0" applyNumberFormat="1" applyFont="1" applyFill="1" applyBorder="1" applyAlignment="1">
      <alignment horizontal="center"/>
    </xf>
    <xf numFmtId="9" fontId="0" fillId="6" borderId="3" xfId="2" applyFont="1" applyFill="1" applyBorder="1"/>
    <xf numFmtId="165" fontId="2" fillId="0" borderId="7" xfId="1" applyNumberFormat="1" applyFont="1" applyBorder="1"/>
    <xf numFmtId="165" fontId="2" fillId="0" borderId="10" xfId="1" applyNumberFormat="1" applyFont="1" applyBorder="1" applyAlignment="1">
      <alignment vertical="center"/>
    </xf>
    <xf numFmtId="165" fontId="0" fillId="6" borderId="7" xfId="1" applyNumberFormat="1" applyFont="1" applyFill="1" applyBorder="1"/>
    <xf numFmtId="165" fontId="0" fillId="4" borderId="0" xfId="1" applyNumberFormat="1" applyFont="1" applyFill="1"/>
    <xf numFmtId="9" fontId="0" fillId="4" borderId="0" xfId="2" applyFont="1" applyFill="1" applyBorder="1" applyAlignment="1">
      <alignment horizontal="center"/>
    </xf>
    <xf numFmtId="9" fontId="0" fillId="4" borderId="0" xfId="2" applyFont="1" applyFill="1" applyBorder="1"/>
    <xf numFmtId="165" fontId="0" fillId="4" borderId="8" xfId="1" applyNumberFormat="1" applyFont="1" applyFill="1" applyBorder="1"/>
    <xf numFmtId="9" fontId="0" fillId="4" borderId="6" xfId="2" applyFont="1" applyFill="1" applyBorder="1" applyAlignment="1">
      <alignment horizontal="center"/>
    </xf>
    <xf numFmtId="9" fontId="0" fillId="4" borderId="4" xfId="2" applyFont="1" applyFill="1" applyBorder="1" applyAlignment="1">
      <alignment horizontal="center"/>
    </xf>
    <xf numFmtId="9" fontId="0" fillId="4" borderId="6" xfId="2" applyFont="1" applyFill="1" applyBorder="1"/>
    <xf numFmtId="9" fontId="0" fillId="4" borderId="4" xfId="2" applyFont="1" applyFill="1" applyBorder="1"/>
    <xf numFmtId="165" fontId="0" fillId="4" borderId="12" xfId="1" applyNumberFormat="1" applyFont="1" applyFill="1" applyBorder="1" applyAlignment="1">
      <alignment horizontal="center"/>
    </xf>
    <xf numFmtId="165" fontId="0" fillId="4" borderId="13" xfId="1" applyNumberFormat="1" applyFont="1" applyFill="1" applyBorder="1" applyAlignment="1">
      <alignment horizontal="center"/>
    </xf>
    <xf numFmtId="165" fontId="0" fillId="5" borderId="13" xfId="1" applyNumberFormat="1" applyFont="1" applyFill="1" applyBorder="1" applyAlignment="1">
      <alignment horizontal="center"/>
    </xf>
    <xf numFmtId="165" fontId="0" fillId="4" borderId="14" xfId="1" applyNumberFormat="1" applyFont="1" applyFill="1" applyBorder="1" applyAlignment="1">
      <alignment horizontal="center"/>
    </xf>
    <xf numFmtId="165" fontId="4" fillId="0" borderId="0" xfId="1" applyNumberFormat="1" applyFont="1" applyAlignment="1">
      <alignment horizontal="left" vertical="center"/>
    </xf>
    <xf numFmtId="0" fontId="14" fillId="0" borderId="0" xfId="0" applyFont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left" vertical="center" indent="5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165" fontId="0" fillId="0" borderId="0" xfId="0" applyNumberFormat="1" applyAlignment="1">
      <alignment horizontal="left" indent="1"/>
    </xf>
    <xf numFmtId="0" fontId="9" fillId="0" borderId="0" xfId="0" applyFont="1"/>
    <xf numFmtId="165" fontId="9" fillId="0" borderId="0" xfId="1" applyNumberFormat="1" applyFont="1"/>
    <xf numFmtId="9" fontId="0" fillId="0" borderId="0" xfId="2" applyNumberFormat="1" applyFont="1" applyAlignment="1">
      <alignment horizontal="center"/>
    </xf>
    <xf numFmtId="0" fontId="6" fillId="0" borderId="0" xfId="0" applyFont="1" applyBorder="1"/>
    <xf numFmtId="2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0" fillId="4" borderId="9" xfId="0" applyFill="1" applyBorder="1"/>
    <xf numFmtId="0" fontId="6" fillId="4" borderId="0" xfId="0" applyFont="1" applyFill="1" applyBorder="1" applyAlignment="1">
      <alignment horizontal="center"/>
    </xf>
    <xf numFmtId="0" fontId="6" fillId="4" borderId="0" xfId="0" applyFont="1" applyFill="1" applyBorder="1"/>
    <xf numFmtId="3" fontId="6" fillId="4" borderId="0" xfId="0" applyNumberFormat="1" applyFont="1" applyFill="1" applyBorder="1" applyAlignment="1">
      <alignment horizontal="center"/>
    </xf>
    <xf numFmtId="9" fontId="6" fillId="4" borderId="0" xfId="2" applyFont="1" applyFill="1" applyBorder="1" applyAlignment="1">
      <alignment horizontal="center"/>
    </xf>
    <xf numFmtId="0" fontId="22" fillId="0" borderId="0" xfId="0" applyFont="1" applyBorder="1"/>
    <xf numFmtId="0" fontId="21" fillId="0" borderId="0" xfId="0" applyFont="1" applyAlignment="1"/>
    <xf numFmtId="0" fontId="1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20" fillId="0" borderId="0" xfId="0" applyFont="1" applyAlignment="1">
      <alignment horizontal="center"/>
    </xf>
  </cellXfs>
  <cellStyles count="73">
    <cellStyle name="Comma" xfId="1" builtinId="3"/>
    <cellStyle name="Comma 2" xfId="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  <cellStyle name="Percent" xfId="2" builtinId="5"/>
    <cellStyle name="Percent 2" xfId="4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3.xml"/><Relationship Id="rId12" Type="http://schemas.openxmlformats.org/officeDocument/2006/relationships/externalLink" Target="externalLinks/externalLink4.xml"/><Relationship Id="rId13" Type="http://schemas.openxmlformats.org/officeDocument/2006/relationships/externalLink" Target="externalLinks/externalLink5.xml"/><Relationship Id="rId14" Type="http://schemas.openxmlformats.org/officeDocument/2006/relationships/externalLink" Target="externalLinks/externalLink6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EMAGNE%20&amp;%20LUXEMBOURG%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ELGIQUE%20&amp;%20PAYS-B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holas2/Documents/Differdingen%20Project/Etude%20de%20Marche/RO%20France%20et%20Comparaison%20Pop%20zone%20Chal%20par%20pays%2011.11.2013%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holas2/Documents/Differdingen%20Project/Etude%20de%20Marche/TECHNORAMA%20DATEN%20Octobr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holas2/Documents/Differdingen%20Project/Etude%20de%20Marche/Belgique%20HABITANTS%20ZONE%20DE%20CHALANDISE%20Octobr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holas2/Documents/Differdingen%20Project/Etude%20de%20Marche/France%20et%20Comparaison%20Pop%20zone%20Chal%20par%20pays%2011.11.2013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écapitulatif"/>
      <sheetName val="Saarland"/>
      <sheetName val="Rheinland Pfalz"/>
      <sheetName val="Nordrhein-Westfalen"/>
      <sheetName val="Baden-Württemberg"/>
      <sheetName val="Hessen"/>
      <sheetName val="Bayern"/>
    </sheetNames>
    <sheetDataSet>
      <sheetData sheetId="0">
        <row r="7">
          <cell r="E7">
            <v>537039</v>
          </cell>
        </row>
        <row r="10">
          <cell r="E10">
            <v>265646.14219845063</v>
          </cell>
          <cell r="F10">
            <v>360604.87856480863</v>
          </cell>
          <cell r="G10">
            <v>1202215.1959150666</v>
          </cell>
          <cell r="H10">
            <v>1958983.3247166013</v>
          </cell>
          <cell r="I10">
            <v>405044.45860507275</v>
          </cell>
        </row>
        <row r="16">
          <cell r="E16">
            <v>565639.14219845063</v>
          </cell>
          <cell r="F16">
            <v>1052072.8785648085</v>
          </cell>
          <cell r="G16">
            <v>1250130.1959150666</v>
          </cell>
          <cell r="H16">
            <v>6478271.3247166015</v>
          </cell>
          <cell r="I16">
            <v>10086717.458605073</v>
          </cell>
        </row>
      </sheetData>
      <sheetData sheetId="1">
        <row r="80">
          <cell r="B80">
            <v>52</v>
          </cell>
          <cell r="G80">
            <v>299993</v>
          </cell>
          <cell r="H80">
            <v>691468</v>
          </cell>
          <cell r="I80">
            <v>6683</v>
          </cell>
        </row>
      </sheetData>
      <sheetData sheetId="2"/>
      <sheetData sheetId="3">
        <row r="364">
          <cell r="I364">
            <v>41232</v>
          </cell>
          <cell r="J364">
            <v>2449789</v>
          </cell>
          <cell r="K364">
            <v>5245278</v>
          </cell>
        </row>
        <row r="366">
          <cell r="B366">
            <v>276</v>
          </cell>
        </row>
      </sheetData>
      <sheetData sheetId="4">
        <row r="348">
          <cell r="J348">
            <v>1264670</v>
          </cell>
          <cell r="K348">
            <v>1490000</v>
          </cell>
        </row>
        <row r="349">
          <cell r="D349">
            <v>295</v>
          </cell>
        </row>
      </sheetData>
      <sheetData sheetId="5">
        <row r="261">
          <cell r="D261">
            <v>203</v>
          </cell>
          <cell r="J261">
            <v>804829</v>
          </cell>
          <cell r="K261">
            <v>2838651</v>
          </cell>
        </row>
      </sheetData>
      <sheetData sheetId="6">
        <row r="19">
          <cell r="J19">
            <v>107744</v>
          </cell>
        </row>
        <row r="21">
          <cell r="B21">
            <v>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elgique"/>
      <sheetName val="Belgique Non Print Version"/>
      <sheetName val=" Netherlands &amp; Flemish Language"/>
      <sheetName val="Sheet4"/>
    </sheetNames>
    <sheetDataSet>
      <sheetData sheetId="0">
        <row r="564">
          <cell r="I564">
            <v>216444.87256042086</v>
          </cell>
          <cell r="J564">
            <v>306560.57879005343</v>
          </cell>
          <cell r="K564">
            <v>2307871.6390139526</v>
          </cell>
          <cell r="L564">
            <v>5475599.6241590297</v>
          </cell>
          <cell r="M564">
            <v>2590214.3505685227</v>
          </cell>
        </row>
      </sheetData>
      <sheetData sheetId="1">
        <row r="266">
          <cell r="J266">
            <v>198607</v>
          </cell>
          <cell r="K266">
            <v>281296</v>
          </cell>
          <cell r="L266">
            <v>1928144</v>
          </cell>
          <cell r="M266">
            <v>877066</v>
          </cell>
          <cell r="N266">
            <v>191648</v>
          </cell>
        </row>
        <row r="544">
          <cell r="J544"/>
          <cell r="K544"/>
          <cell r="L544">
            <v>20672</v>
          </cell>
          <cell r="M544">
            <v>954167.5</v>
          </cell>
          <cell r="N544"/>
        </row>
      </sheetData>
      <sheetData sheetId="2">
        <row r="55">
          <cell r="H55">
            <v>146937</v>
          </cell>
          <cell r="I55">
            <v>582819</v>
          </cell>
          <cell r="J55">
            <v>331391</v>
          </cell>
        </row>
        <row r="57">
          <cell r="B57">
            <v>33</v>
          </cell>
        </row>
        <row r="99">
          <cell r="J99">
            <v>1345463</v>
          </cell>
        </row>
        <row r="101">
          <cell r="B101">
            <v>38</v>
          </cell>
        </row>
        <row r="108">
          <cell r="J108">
            <v>82301</v>
          </cell>
        </row>
        <row r="110">
          <cell r="B110">
            <v>2</v>
          </cell>
        </row>
        <row r="111">
          <cell r="H111">
            <v>146937</v>
          </cell>
          <cell r="I111">
            <v>582819</v>
          </cell>
          <cell r="J111">
            <v>1759155</v>
          </cell>
        </row>
        <row r="116">
          <cell r="H116">
            <v>336169.48272592603</v>
          </cell>
          <cell r="I116">
            <v>4254627.731046305</v>
          </cell>
          <cell r="J116">
            <v>4236083.1035472844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isne"/>
      <sheetName val="Ardennes"/>
      <sheetName val="Aube"/>
      <sheetName val="Bas-Rhin"/>
      <sheetName val="Haut-Rhin"/>
      <sheetName val="Haute-Saône"/>
      <sheetName val="Haute-Marne"/>
      <sheetName val="Marne"/>
      <sheetName val="Meuse"/>
      <sheetName val="Meurthe-et-Moselle"/>
      <sheetName val="Moselle"/>
      <sheetName val="Nord"/>
      <sheetName val="Seine-et-Marne"/>
      <sheetName val="Vosges"/>
      <sheetName val="Total "/>
      <sheetName val="Comparaison simplifiée"/>
      <sheetName val="Comparaison détaillée"/>
      <sheetName val="Comparaison arrondie "/>
      <sheetName val="Méthodologie"/>
      <sheetName val="Linguistics"/>
    </sheetNames>
    <sheetDataSet>
      <sheetData sheetId="0">
        <row r="134">
          <cell r="K134">
            <v>35016.559988372937</v>
          </cell>
          <cell r="L134">
            <v>424739.8898559474</v>
          </cell>
        </row>
      </sheetData>
      <sheetData sheetId="1">
        <row r="74">
          <cell r="I74">
            <v>152683.43255391734</v>
          </cell>
          <cell r="J74">
            <v>124499.97616363343</v>
          </cell>
          <cell r="K74">
            <v>6112.5912824492307</v>
          </cell>
        </row>
      </sheetData>
      <sheetData sheetId="2">
        <row r="53">
          <cell r="K53">
            <v>6654.2486252359868</v>
          </cell>
          <cell r="L53">
            <v>276454.77664778777</v>
          </cell>
        </row>
      </sheetData>
      <sheetData sheetId="3">
        <row r="215">
          <cell r="I215">
            <v>14862.101457315963</v>
          </cell>
          <cell r="J215">
            <v>63958.958939038654</v>
          </cell>
          <cell r="K215">
            <v>924118.50486923102</v>
          </cell>
          <cell r="L215">
            <v>76073.434734414332</v>
          </cell>
        </row>
      </sheetData>
      <sheetData sheetId="4">
        <row r="148">
          <cell r="K148">
            <v>12180.965892288372</v>
          </cell>
          <cell r="L148">
            <v>190259.18493414728</v>
          </cell>
        </row>
      </sheetData>
      <sheetData sheetId="5">
        <row r="64">
          <cell r="K64">
            <v>33727.37351858757</v>
          </cell>
          <cell r="L64">
            <v>157956.8119842415</v>
          </cell>
        </row>
      </sheetData>
      <sheetData sheetId="6">
        <row r="44">
          <cell r="K44">
            <v>107353.68820621469</v>
          </cell>
          <cell r="L44">
            <v>87519.311793785309</v>
          </cell>
        </row>
      </sheetData>
      <sheetData sheetId="7">
        <row r="93">
          <cell r="J93">
            <v>104567.62653245758</v>
          </cell>
          <cell r="K93">
            <v>440488.0301924551</v>
          </cell>
          <cell r="L93">
            <v>20094.343275087325</v>
          </cell>
        </row>
      </sheetData>
      <sheetData sheetId="8">
        <row r="73">
          <cell r="H73">
            <v>18677.290340352098</v>
          </cell>
          <cell r="I73">
            <v>62272.298109875155</v>
          </cell>
          <cell r="J73">
            <v>96308.706078699848</v>
          </cell>
          <cell r="K73">
            <v>16664.705471072906</v>
          </cell>
        </row>
      </sheetData>
      <sheetData sheetId="9">
        <row r="135">
          <cell r="H135">
            <v>151160.98966381539</v>
          </cell>
          <cell r="I135">
            <v>476417.54783304728</v>
          </cell>
          <cell r="J135">
            <v>84036.160662804657</v>
          </cell>
          <cell r="K135">
            <v>2164.3018403326573</v>
          </cell>
        </row>
      </sheetData>
      <sheetData sheetId="10">
        <row r="214">
          <cell r="H214">
            <v>585108.8982319053</v>
          </cell>
          <cell r="I214">
            <v>386426.50123803952</v>
          </cell>
          <cell r="J214">
            <v>64304.261170351754</v>
          </cell>
          <cell r="K214">
            <v>936.33935970336825</v>
          </cell>
        </row>
      </sheetData>
      <sheetData sheetId="11">
        <row r="379">
          <cell r="K379">
            <v>262418.67080684478</v>
          </cell>
          <cell r="L379">
            <v>1719992.1642015071</v>
          </cell>
        </row>
      </sheetData>
      <sheetData sheetId="12">
        <row r="215">
          <cell r="L215">
            <v>180961.48252797007</v>
          </cell>
        </row>
      </sheetData>
      <sheetData sheetId="13">
        <row r="103">
          <cell r="J103">
            <v>150519.89395182973</v>
          </cell>
          <cell r="K103">
            <v>207374.24798347155</v>
          </cell>
          <cell r="L103">
            <v>21829.858064698725</v>
          </cell>
        </row>
      </sheetData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DISTRIBUTION PAR PAYS"/>
      <sheetName val="SUISSE DÉTAILÉE"/>
      <sheetName val="SUISSE PAR CANTON "/>
      <sheetName val="ALLEMAGNE"/>
      <sheetName val="AUTRICHE"/>
      <sheetName val="ITALIE"/>
    </sheetNames>
    <sheetDataSet>
      <sheetData sheetId="0"/>
      <sheetData sheetId="1">
        <row r="38">
          <cell r="F38">
            <v>1645</v>
          </cell>
        </row>
        <row r="40">
          <cell r="C40">
            <v>0.63349865986400422</v>
          </cell>
        </row>
        <row r="54">
          <cell r="F54">
            <v>1969</v>
          </cell>
        </row>
        <row r="56">
          <cell r="C56">
            <v>0.99061718098415341</v>
          </cell>
        </row>
        <row r="73">
          <cell r="C73">
            <v>212</v>
          </cell>
        </row>
        <row r="75">
          <cell r="C75">
            <v>0.38113758666590963</v>
          </cell>
        </row>
        <row r="107">
          <cell r="C107">
            <v>877</v>
          </cell>
        </row>
        <row r="109">
          <cell r="C109">
            <v>0.34656171272557401</v>
          </cell>
        </row>
        <row r="130">
          <cell r="H130">
            <v>142</v>
          </cell>
        </row>
        <row r="132">
          <cell r="C132">
            <v>0.98372053586569441</v>
          </cell>
        </row>
        <row r="147">
          <cell r="C147">
            <v>3227</v>
          </cell>
        </row>
        <row r="149">
          <cell r="C149">
            <v>0.36206260194544654</v>
          </cell>
        </row>
        <row r="164">
          <cell r="C164">
            <v>754</v>
          </cell>
        </row>
        <row r="166">
          <cell r="C166">
            <v>0.37663640437700147</v>
          </cell>
        </row>
        <row r="196">
          <cell r="C196">
            <v>1544</v>
          </cell>
        </row>
        <row r="198">
          <cell r="C198">
            <v>0.53274718724387149</v>
          </cell>
        </row>
        <row r="215">
          <cell r="H215">
            <v>1031</v>
          </cell>
        </row>
        <row r="218">
          <cell r="C218">
            <v>0.43117722704191647</v>
          </cell>
        </row>
        <row r="229">
          <cell r="G229">
            <v>2108</v>
          </cell>
        </row>
        <row r="237">
          <cell r="C237">
            <v>3172</v>
          </cell>
        </row>
        <row r="239">
          <cell r="C239">
            <v>0.73651457606241022</v>
          </cell>
        </row>
        <row r="249">
          <cell r="C249">
            <v>2092</v>
          </cell>
        </row>
        <row r="277">
          <cell r="C277">
            <v>1059</v>
          </cell>
          <cell r="D277">
            <v>184</v>
          </cell>
        </row>
        <row r="279">
          <cell r="C279">
            <v>0.2900053700420942</v>
          </cell>
        </row>
        <row r="290">
          <cell r="H290">
            <v>1263</v>
          </cell>
        </row>
        <row r="292">
          <cell r="C292">
            <v>0.79349325845416474</v>
          </cell>
        </row>
        <row r="327">
          <cell r="H327">
            <v>693</v>
          </cell>
        </row>
        <row r="329">
          <cell r="C329">
            <v>0.76025876648706958</v>
          </cell>
        </row>
        <row r="335">
          <cell r="C335">
            <v>10028</v>
          </cell>
        </row>
        <row r="350">
          <cell r="C350">
            <v>4703</v>
          </cell>
        </row>
        <row r="355">
          <cell r="C355">
            <v>9938</v>
          </cell>
        </row>
        <row r="369">
          <cell r="C369">
            <v>816</v>
          </cell>
        </row>
        <row r="371">
          <cell r="C371">
            <v>0.77670412460584515</v>
          </cell>
        </row>
        <row r="386">
          <cell r="I386">
            <v>16502</v>
          </cell>
        </row>
        <row r="407">
          <cell r="H407">
            <v>4825</v>
          </cell>
        </row>
        <row r="409">
          <cell r="C409">
            <v>0.42945507113373388</v>
          </cell>
        </row>
        <row r="414">
          <cell r="C414">
            <v>20602</v>
          </cell>
        </row>
        <row r="416">
          <cell r="C416">
            <v>0.94707609871708998</v>
          </cell>
        </row>
        <row r="430">
          <cell r="C430">
            <v>4857</v>
          </cell>
        </row>
        <row r="432">
          <cell r="C432">
            <v>0.5278660298111767</v>
          </cell>
        </row>
        <row r="441">
          <cell r="C441">
            <v>2106</v>
          </cell>
        </row>
        <row r="443">
          <cell r="C443">
            <v>0.66568733859800144</v>
          </cell>
        </row>
        <row r="453">
          <cell r="C453">
            <v>1134</v>
          </cell>
        </row>
        <row r="473">
          <cell r="C473">
            <v>434</v>
          </cell>
        </row>
        <row r="475">
          <cell r="C475">
            <v>0.27131055769056195</v>
          </cell>
        </row>
      </sheetData>
      <sheetData sheetId="2">
        <row r="31">
          <cell r="E31">
            <v>2622822.0986797307</v>
          </cell>
          <cell r="F31">
            <v>1403710.9833121395</v>
          </cell>
          <cell r="G31">
            <v>1494066.4461960492</v>
          </cell>
          <cell r="H31">
            <v>902386.01194653416</v>
          </cell>
          <cell r="I31">
            <v>926539.06049178971</v>
          </cell>
        </row>
        <row r="33">
          <cell r="E33">
            <v>434267</v>
          </cell>
          <cell r="F33">
            <v>1042329</v>
          </cell>
          <cell r="G33">
            <v>2273396</v>
          </cell>
          <cell r="H33">
            <v>4575825</v>
          </cell>
          <cell r="I33">
            <v>4099239</v>
          </cell>
        </row>
        <row r="35">
          <cell r="E35">
            <v>0</v>
          </cell>
          <cell r="F35">
            <v>246039</v>
          </cell>
          <cell r="G35">
            <v>172083</v>
          </cell>
          <cell r="H35">
            <v>89492</v>
          </cell>
          <cell r="I35">
            <v>370088</v>
          </cell>
        </row>
        <row r="38">
          <cell r="H38">
            <v>0</v>
          </cell>
          <cell r="I38">
            <v>0</v>
          </cell>
        </row>
        <row r="41">
          <cell r="E41">
            <v>3057089.0986797307</v>
          </cell>
          <cell r="F41">
            <v>2692078.9833121393</v>
          </cell>
          <cell r="G41">
            <v>3939545.4461960495</v>
          </cell>
          <cell r="H41">
            <v>5567703.0119465338</v>
          </cell>
          <cell r="I41">
            <v>5395866.0604917901</v>
          </cell>
        </row>
      </sheetData>
      <sheetData sheetId="3">
        <row r="44">
          <cell r="I44">
            <v>52585</v>
          </cell>
        </row>
        <row r="75">
          <cell r="G75">
            <v>41551</v>
          </cell>
        </row>
      </sheetData>
      <sheetData sheetId="4">
        <row r="26">
          <cell r="B26">
            <v>11</v>
          </cell>
        </row>
      </sheetData>
      <sheetData sheetId="5">
        <row r="26">
          <cell r="B26">
            <v>10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Belgique"/>
      <sheetName val="Belgique Non Print Version"/>
      <sheetName val=" Netherlands &amp; Flemish Language"/>
      <sheetName val="Sheet4"/>
    </sheetNames>
    <sheetDataSet>
      <sheetData sheetId="0">
        <row r="238">
          <cell r="F238">
            <v>78</v>
          </cell>
        </row>
      </sheetData>
      <sheetData sheetId="1">
        <row r="360">
          <cell r="G360">
            <v>87</v>
          </cell>
        </row>
        <row r="519">
          <cell r="G519">
            <v>0.89020912510224881</v>
          </cell>
        </row>
      </sheetData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Aisne"/>
      <sheetName val="Ardennes"/>
      <sheetName val="Aube"/>
      <sheetName val="Bas-Rhin"/>
      <sheetName val="Haut-Rhin"/>
      <sheetName val="Haute-Saône"/>
      <sheetName val="Haute-Marne"/>
      <sheetName val="Marne"/>
      <sheetName val="Meuse"/>
      <sheetName val="Meurthe-et-Moselle"/>
      <sheetName val="Moselle"/>
      <sheetName val="Nord"/>
      <sheetName val="Seine-et-Marne"/>
      <sheetName val="Vosges"/>
      <sheetName val="Total "/>
      <sheetName val="Comparaison simplifiée"/>
      <sheetName val="Comparaison détaillée"/>
      <sheetName val="Comparaison arrondie "/>
      <sheetName val="Méthodologie"/>
      <sheetName val="Linguistics"/>
    </sheetNames>
    <sheetDataSet>
      <sheetData sheetId="0">
        <row r="127">
          <cell r="F127">
            <v>753</v>
          </cell>
        </row>
        <row r="130">
          <cell r="F130">
            <v>0.66194394902573139</v>
          </cell>
        </row>
      </sheetData>
      <sheetData sheetId="1">
        <row r="67">
          <cell r="A67">
            <v>60</v>
          </cell>
          <cell r="D67">
            <v>844</v>
          </cell>
        </row>
        <row r="70">
          <cell r="H70">
            <v>0.72326118264994921</v>
          </cell>
        </row>
      </sheetData>
      <sheetData sheetId="2">
        <row r="47">
          <cell r="A47">
            <v>40</v>
          </cell>
          <cell r="D47">
            <v>983</v>
          </cell>
        </row>
        <row r="49">
          <cell r="H49">
            <v>0.64094389016742614</v>
          </cell>
        </row>
      </sheetData>
      <sheetData sheetId="3">
        <row r="208">
          <cell r="A208">
            <v>200</v>
          </cell>
          <cell r="D208">
            <v>863</v>
          </cell>
        </row>
        <row r="211">
          <cell r="D211">
            <v>0.81852489265652961</v>
          </cell>
        </row>
      </sheetData>
      <sheetData sheetId="4">
        <row r="141">
          <cell r="A141">
            <v>135</v>
          </cell>
          <cell r="D141">
            <v>980</v>
          </cell>
        </row>
        <row r="144">
          <cell r="G144">
            <v>0.77842759628798774</v>
          </cell>
        </row>
      </sheetData>
      <sheetData sheetId="5">
        <row r="56">
          <cell r="A56">
            <v>49</v>
          </cell>
          <cell r="D56">
            <v>802</v>
          </cell>
        </row>
        <row r="60">
          <cell r="G60">
            <v>0.53698222276391616</v>
          </cell>
        </row>
      </sheetData>
      <sheetData sheetId="6">
        <row r="37">
          <cell r="A37">
            <v>30</v>
          </cell>
          <cell r="D37">
            <v>880</v>
          </cell>
        </row>
        <row r="40">
          <cell r="G40">
            <v>0.5958342099726488</v>
          </cell>
        </row>
      </sheetData>
      <sheetData sheetId="7">
        <row r="86">
          <cell r="A86">
            <v>80</v>
          </cell>
          <cell r="D86">
            <v>843</v>
          </cell>
        </row>
        <row r="89">
          <cell r="G89">
            <v>0.77101300539679729</v>
          </cell>
        </row>
      </sheetData>
      <sheetData sheetId="8">
        <row r="66">
          <cell r="A66">
            <v>60</v>
          </cell>
          <cell r="D66">
            <v>533</v>
          </cell>
        </row>
        <row r="69">
          <cell r="G69">
            <v>0.63649489745930088</v>
          </cell>
        </row>
      </sheetData>
      <sheetData sheetId="9">
        <row r="127">
          <cell r="A127">
            <v>120</v>
          </cell>
          <cell r="D127">
            <v>946</v>
          </cell>
        </row>
        <row r="131">
          <cell r="F131">
            <v>0.82613245836596483</v>
          </cell>
        </row>
      </sheetData>
      <sheetData sheetId="10">
        <row r="207">
          <cell r="A207">
            <v>200</v>
          </cell>
          <cell r="F207">
            <v>828</v>
          </cell>
        </row>
        <row r="210">
          <cell r="F210">
            <v>0.93021829209009466</v>
          </cell>
        </row>
      </sheetData>
      <sheetData sheetId="11">
        <row r="368">
          <cell r="A368">
            <v>361</v>
          </cell>
          <cell r="D368">
            <v>992</v>
          </cell>
        </row>
        <row r="375">
          <cell r="F375">
            <v>0.93467053714534087</v>
          </cell>
        </row>
      </sheetData>
      <sheetData sheetId="12">
        <row r="210">
          <cell r="A210">
            <v>202</v>
          </cell>
          <cell r="D210">
            <v>983</v>
          </cell>
        </row>
        <row r="216">
          <cell r="E216">
            <v>0.79419110626365708</v>
          </cell>
        </row>
      </sheetData>
      <sheetData sheetId="13">
        <row r="96">
          <cell r="A96">
            <v>90</v>
          </cell>
          <cell r="D96">
            <v>856</v>
          </cell>
        </row>
        <row r="99">
          <cell r="G99">
            <v>0.74439329618354388</v>
          </cell>
        </row>
      </sheetData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16"/>
  <sheetViews>
    <sheetView workbookViewId="0">
      <selection activeCell="H25" sqref="H25"/>
    </sheetView>
  </sheetViews>
  <sheetFormatPr baseColWidth="10" defaultRowHeight="15" x14ac:dyDescent="0"/>
  <cols>
    <col min="1" max="1" width="3.83203125" customWidth="1"/>
    <col min="2" max="2" width="44" customWidth="1"/>
    <col min="3" max="5" width="18" customWidth="1"/>
    <col min="6" max="6" width="1.1640625" customWidth="1"/>
  </cols>
  <sheetData>
    <row r="1" spans="1:6" ht="18">
      <c r="B1" s="177" t="s">
        <v>123</v>
      </c>
      <c r="C1" s="177"/>
      <c r="D1" s="177"/>
      <c r="E1" s="177"/>
      <c r="F1" s="177"/>
    </row>
    <row r="2" spans="1:6" ht="59" customHeight="1">
      <c r="B2" s="159" t="s">
        <v>160</v>
      </c>
      <c r="C2" s="160"/>
      <c r="D2" s="160"/>
      <c r="E2" s="160"/>
      <c r="F2" s="160"/>
    </row>
    <row r="3" spans="1:6" ht="35" customHeight="1">
      <c r="B3" s="176" t="s">
        <v>50</v>
      </c>
      <c r="C3" s="176"/>
      <c r="D3" s="176"/>
      <c r="E3" s="176"/>
      <c r="F3" s="176"/>
    </row>
    <row r="4" spans="1:6" s="18" customFormat="1" ht="8" customHeight="1">
      <c r="B4" s="175"/>
      <c r="C4" s="175"/>
      <c r="D4" s="175"/>
      <c r="E4" s="175"/>
      <c r="F4" s="175"/>
    </row>
    <row r="5" spans="1:6" ht="16" thickBot="1"/>
    <row r="6" spans="1:6">
      <c r="A6" s="40"/>
      <c r="B6" s="39"/>
      <c r="C6" s="39"/>
      <c r="D6" s="170"/>
      <c r="E6" s="39"/>
      <c r="F6" s="38"/>
    </row>
    <row r="7" spans="1:6" ht="18">
      <c r="A7" s="52"/>
      <c r="B7" s="167" t="s">
        <v>161</v>
      </c>
      <c r="C7" s="100" t="s">
        <v>165</v>
      </c>
      <c r="D7" s="171" t="s">
        <v>164</v>
      </c>
      <c r="E7" s="168" t="s">
        <v>166</v>
      </c>
      <c r="F7" s="35"/>
    </row>
    <row r="8" spans="1:6" ht="18">
      <c r="A8" s="52"/>
      <c r="B8" s="167"/>
      <c r="C8" s="167"/>
      <c r="D8" s="172"/>
      <c r="E8" s="167"/>
      <c r="F8" s="35"/>
    </row>
    <row r="9" spans="1:6" ht="18">
      <c r="A9" s="52"/>
      <c r="B9" s="167" t="s">
        <v>139</v>
      </c>
      <c r="C9" s="169">
        <v>8900000</v>
      </c>
      <c r="D9" s="173">
        <v>24000000</v>
      </c>
      <c r="E9" s="169">
        <v>41100000</v>
      </c>
      <c r="F9" s="35"/>
    </row>
    <row r="10" spans="1:6" ht="18">
      <c r="A10" s="52"/>
      <c r="B10" s="167"/>
      <c r="C10" s="100"/>
      <c r="D10" s="171"/>
      <c r="E10" s="167"/>
      <c r="F10" s="35"/>
    </row>
    <row r="11" spans="1:6" ht="18">
      <c r="A11" s="52"/>
      <c r="B11" s="167" t="s">
        <v>133</v>
      </c>
      <c r="C11" s="169">
        <v>9700000</v>
      </c>
      <c r="D11" s="173">
        <v>15000000</v>
      </c>
      <c r="E11" s="169">
        <v>20700000</v>
      </c>
      <c r="F11" s="35"/>
    </row>
    <row r="12" spans="1:6" ht="18">
      <c r="A12" s="52"/>
      <c r="B12" s="167"/>
      <c r="C12" s="100"/>
      <c r="D12" s="171"/>
      <c r="E12" s="167"/>
      <c r="F12" s="35"/>
    </row>
    <row r="13" spans="1:6" ht="18">
      <c r="A13" s="52"/>
      <c r="B13" s="167" t="s">
        <v>162</v>
      </c>
      <c r="C13" s="169">
        <v>-800000</v>
      </c>
      <c r="D13" s="173">
        <v>9000000</v>
      </c>
      <c r="E13" s="169">
        <v>20400000</v>
      </c>
      <c r="F13" s="35"/>
    </row>
    <row r="14" spans="1:6" ht="18">
      <c r="A14" s="52"/>
      <c r="B14" s="167"/>
      <c r="C14" s="100"/>
      <c r="D14" s="172"/>
      <c r="E14" s="167"/>
      <c r="F14" s="35"/>
    </row>
    <row r="15" spans="1:6" ht="18">
      <c r="A15" s="52"/>
      <c r="B15" s="167" t="s">
        <v>163</v>
      </c>
      <c r="C15" s="36">
        <f>-C13/C9</f>
        <v>8.98876404494382E-2</v>
      </c>
      <c r="D15" s="174">
        <f>D13/D11</f>
        <v>0.6</v>
      </c>
      <c r="E15" s="37">
        <f>E13/E11</f>
        <v>0.98550724637681164</v>
      </c>
      <c r="F15" s="35"/>
    </row>
    <row r="16" spans="1:6" ht="16" thickBot="1">
      <c r="A16" s="34"/>
      <c r="B16" s="31"/>
      <c r="C16" s="31"/>
      <c r="D16" s="47"/>
      <c r="E16" s="31"/>
      <c r="F16" s="33"/>
    </row>
  </sheetData>
  <mergeCells count="1">
    <mergeCell ref="B1:F1"/>
  </mergeCells>
  <phoneticPr fontId="5" type="noConversion"/>
  <printOptions horizontalCentered="1"/>
  <pageMargins left="0.75" right="0.75" top="2" bottom="1" header="0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workbookViewId="0">
      <selection activeCell="A4" sqref="A4:H4"/>
    </sheetView>
  </sheetViews>
  <sheetFormatPr baseColWidth="10" defaultRowHeight="18" customHeight="1" x14ac:dyDescent="0"/>
  <cols>
    <col min="1" max="1" width="26.33203125" customWidth="1"/>
    <col min="2" max="2" width="2.1640625" customWidth="1"/>
    <col min="3" max="3" width="13.33203125" bestFit="1" customWidth="1"/>
    <col min="4" max="4" width="13.1640625" bestFit="1" customWidth="1"/>
    <col min="5" max="7" width="14.33203125" bestFit="1" customWidth="1"/>
    <col min="8" max="8" width="12.33203125" customWidth="1"/>
    <col min="9" max="9" width="12.5" customWidth="1"/>
    <col min="11" max="11" width="13.1640625" bestFit="1" customWidth="1"/>
  </cols>
  <sheetData>
    <row r="1" spans="1:8" ht="18" customHeight="1">
      <c r="A1" s="158"/>
    </row>
    <row r="2" spans="1:8" ht="18" customHeight="1">
      <c r="A2" s="180" t="s">
        <v>123</v>
      </c>
      <c r="B2" s="180"/>
      <c r="C2" s="180"/>
      <c r="D2" s="180"/>
      <c r="E2" s="180"/>
      <c r="F2" s="180"/>
      <c r="G2" s="180"/>
      <c r="H2" s="180"/>
    </row>
    <row r="3" spans="1:8" ht="18" customHeight="1">
      <c r="A3" s="179" t="s">
        <v>122</v>
      </c>
      <c r="B3" s="179"/>
      <c r="C3" s="179"/>
      <c r="D3" s="179"/>
      <c r="E3" s="179"/>
      <c r="F3" s="179"/>
      <c r="G3" s="179"/>
      <c r="H3" s="179"/>
    </row>
    <row r="4" spans="1:8" ht="28" customHeight="1">
      <c r="A4" s="178" t="s">
        <v>155</v>
      </c>
      <c r="B4" s="178"/>
      <c r="C4" s="178"/>
      <c r="D4" s="178"/>
      <c r="E4" s="178"/>
      <c r="F4" s="178"/>
      <c r="G4" s="178"/>
      <c r="H4" s="178"/>
    </row>
    <row r="6" spans="1:8" ht="18" customHeight="1">
      <c r="A6" t="s">
        <v>121</v>
      </c>
      <c r="C6" s="3" t="s">
        <v>4</v>
      </c>
      <c r="D6" s="2" t="s">
        <v>3</v>
      </c>
      <c r="E6" s="2" t="s">
        <v>2</v>
      </c>
      <c r="F6" s="1" t="s">
        <v>1</v>
      </c>
      <c r="G6" s="1" t="s">
        <v>0</v>
      </c>
      <c r="H6" s="109" t="s">
        <v>47</v>
      </c>
    </row>
    <row r="7" spans="1:8" ht="18" customHeight="1">
      <c r="C7" s="29"/>
      <c r="D7" s="28"/>
      <c r="E7" s="28"/>
      <c r="F7" s="27"/>
      <c r="G7" s="27"/>
    </row>
    <row r="8" spans="1:8" ht="18" customHeight="1">
      <c r="A8" s="12" t="s">
        <v>46</v>
      </c>
    </row>
    <row r="9" spans="1:8" ht="18" customHeight="1">
      <c r="A9" t="s">
        <v>45</v>
      </c>
      <c r="C9" s="13">
        <f>[1]Récapitulatif!$E$10</f>
        <v>265646.14219845063</v>
      </c>
      <c r="D9" s="13">
        <f>[1]Récapitulatif!$F$10</f>
        <v>360604.87856480863</v>
      </c>
      <c r="E9" s="13">
        <f>[1]Récapitulatif!$G$10</f>
        <v>1202215.1959150666</v>
      </c>
      <c r="F9" s="13">
        <f>[1]Récapitulatif!$H$10</f>
        <v>1958983.3247166013</v>
      </c>
      <c r="G9" s="13">
        <f>[1]Récapitulatif!$I$10</f>
        <v>405044.45860507275</v>
      </c>
    </row>
    <row r="10" spans="1:8" ht="18" customHeight="1">
      <c r="A10" t="s">
        <v>44</v>
      </c>
      <c r="E10" s="13">
        <f>'[1]Nordrhein-Westfalen'!$I$364</f>
        <v>41232</v>
      </c>
      <c r="F10" s="13">
        <f>'[1]Nordrhein-Westfalen'!$J$364</f>
        <v>2449789</v>
      </c>
      <c r="G10" s="13">
        <f>'[1]Nordrhein-Westfalen'!$K$364</f>
        <v>5245278</v>
      </c>
    </row>
    <row r="11" spans="1:8" ht="18" customHeight="1">
      <c r="A11" t="s">
        <v>43</v>
      </c>
      <c r="C11" s="13">
        <f>[1]Saarland!$G$80</f>
        <v>299993</v>
      </c>
      <c r="D11" s="13">
        <f>[1]Saarland!$H$80</f>
        <v>691468</v>
      </c>
      <c r="E11" s="13">
        <f>[1]Saarland!$I$80</f>
        <v>6683</v>
      </c>
    </row>
    <row r="12" spans="1:8" ht="18" customHeight="1">
      <c r="A12" t="s">
        <v>42</v>
      </c>
      <c r="F12" s="13">
        <f>'[1]Baden-Württemberg'!$J$348</f>
        <v>1264670</v>
      </c>
      <c r="G12" s="13">
        <f>'[1]Baden-Württemberg'!$K$348</f>
        <v>1490000</v>
      </c>
    </row>
    <row r="13" spans="1:8" ht="18" customHeight="1">
      <c r="A13" t="s">
        <v>41</v>
      </c>
      <c r="F13" s="13">
        <f>[1]Hessen!$J$261</f>
        <v>804829</v>
      </c>
      <c r="G13" s="13">
        <f>[1]Hessen!$K$261</f>
        <v>2838651</v>
      </c>
    </row>
    <row r="14" spans="1:8" ht="18" customHeight="1" thickBot="1">
      <c r="A14" s="22" t="s">
        <v>40</v>
      </c>
      <c r="C14" s="31"/>
      <c r="D14" s="31"/>
      <c r="E14" s="31"/>
      <c r="F14" s="31"/>
      <c r="G14" s="30">
        <f>[1]Bayern!$J$19</f>
        <v>107744</v>
      </c>
    </row>
    <row r="15" spans="1:8" ht="18" customHeight="1" thickTop="1">
      <c r="A15" s="15" t="s">
        <v>39</v>
      </c>
      <c r="C15" s="5">
        <f>SUM(C9:C14)</f>
        <v>565639.14219845063</v>
      </c>
      <c r="D15" s="5">
        <f>SUM(D9:D14)</f>
        <v>1052072.8785648085</v>
      </c>
      <c r="E15" s="5">
        <f>SUM(E9:E14)</f>
        <v>1250130.1959150666</v>
      </c>
      <c r="F15" s="5">
        <f>SUM(F9:F14)</f>
        <v>6478271.3247166015</v>
      </c>
      <c r="G15" s="5">
        <f>SUM(G9:G14)</f>
        <v>10086717.458605073</v>
      </c>
      <c r="H15" s="14">
        <f>SUM(C15:G15)</f>
        <v>19432831</v>
      </c>
    </row>
    <row r="16" spans="1:8" ht="18" customHeight="1">
      <c r="C16" s="29"/>
      <c r="D16" s="28"/>
      <c r="E16" s="28"/>
      <c r="F16" s="27"/>
      <c r="G16" s="27"/>
    </row>
    <row r="17" spans="1:8" ht="18" customHeight="1">
      <c r="A17" s="15" t="s">
        <v>38</v>
      </c>
      <c r="C17" s="13">
        <f>[2]Belgique!$I$564</f>
        <v>216444.87256042086</v>
      </c>
      <c r="D17" s="13">
        <f>[2]Belgique!$J$564</f>
        <v>306560.57879005343</v>
      </c>
      <c r="E17" s="13">
        <f>[2]Belgique!$K$564</f>
        <v>2307871.6390139526</v>
      </c>
      <c r="F17" s="13">
        <f>[2]Belgique!$L$564</f>
        <v>5475599.6241590297</v>
      </c>
      <c r="G17" s="13">
        <f>[2]Belgique!$M$564</f>
        <v>2590214.3505685227</v>
      </c>
      <c r="H17" s="14">
        <f>SUM(C17:G17)</f>
        <v>10896691.065091979</v>
      </c>
    </row>
    <row r="18" spans="1:8" ht="18" customHeight="1">
      <c r="C18" s="29"/>
      <c r="D18" s="28"/>
      <c r="E18" s="28"/>
      <c r="F18" s="27"/>
      <c r="G18" s="27"/>
    </row>
    <row r="19" spans="1:8" ht="18" customHeight="1">
      <c r="A19" s="12" t="s">
        <v>37</v>
      </c>
      <c r="C19" s="29"/>
      <c r="D19" s="28"/>
      <c r="E19" s="28"/>
      <c r="F19" s="27"/>
      <c r="G19" s="27"/>
    </row>
    <row r="20" spans="1:8" ht="18" customHeight="1">
      <c r="A20" t="s">
        <v>36</v>
      </c>
      <c r="F20" s="13">
        <f>[3]Aisne!K134</f>
        <v>35016.559988372937</v>
      </c>
      <c r="G20" s="13">
        <f>[3]Aisne!L134</f>
        <v>424739.8898559474</v>
      </c>
    </row>
    <row r="21" spans="1:8" ht="18" customHeight="1">
      <c r="A21" t="s">
        <v>35</v>
      </c>
      <c r="C21" s="13"/>
      <c r="D21" s="13">
        <f>[3]Ardennes!I74</f>
        <v>152683.43255391734</v>
      </c>
      <c r="E21" s="13">
        <f>[3]Ardennes!J74</f>
        <v>124499.97616363343</v>
      </c>
      <c r="F21" s="13">
        <f>[3]Ardennes!K74</f>
        <v>6112.5912824492307</v>
      </c>
      <c r="G21" s="13"/>
    </row>
    <row r="22" spans="1:8" ht="18" customHeight="1">
      <c r="A22" t="s">
        <v>34</v>
      </c>
      <c r="F22" s="13">
        <f>[3]Aube!K53</f>
        <v>6654.2486252359868</v>
      </c>
      <c r="G22" s="13">
        <f>[3]Aube!L53</f>
        <v>276454.77664778777</v>
      </c>
    </row>
    <row r="23" spans="1:8" ht="18" customHeight="1">
      <c r="A23" t="s">
        <v>33</v>
      </c>
      <c r="D23" s="13">
        <f>'[3]Bas-Rhin'!I215</f>
        <v>14862.101457315963</v>
      </c>
      <c r="E23" s="13">
        <f>'[3]Bas-Rhin'!J215</f>
        <v>63958.958939038654</v>
      </c>
      <c r="F23" s="13">
        <f>'[3]Bas-Rhin'!K215</f>
        <v>924118.50486923102</v>
      </c>
      <c r="G23" s="13">
        <f>'[3]Bas-Rhin'!L215</f>
        <v>76073.434734414332</v>
      </c>
      <c r="H23" s="5"/>
    </row>
    <row r="24" spans="1:8" ht="18" customHeight="1">
      <c r="A24" t="s">
        <v>32</v>
      </c>
      <c r="D24" s="13"/>
      <c r="E24" s="13"/>
      <c r="F24" s="13">
        <f>'[3]Haut-Rhin'!K148</f>
        <v>12180.965892288372</v>
      </c>
      <c r="G24" s="13">
        <f>'[3]Haut-Rhin'!L148</f>
        <v>190259.18493414728</v>
      </c>
      <c r="H24" s="5"/>
    </row>
    <row r="25" spans="1:8" ht="18" customHeight="1">
      <c r="A25" t="s">
        <v>31</v>
      </c>
      <c r="D25" s="13"/>
      <c r="E25" s="13"/>
      <c r="F25" s="13">
        <f>'[3]Haute-Marne'!K44</f>
        <v>107353.68820621469</v>
      </c>
      <c r="G25" s="13">
        <f>'[3]Haute-Marne'!L44</f>
        <v>87519.311793785309</v>
      </c>
      <c r="H25" s="5"/>
    </row>
    <row r="26" spans="1:8" ht="18" customHeight="1">
      <c r="A26" t="s">
        <v>30</v>
      </c>
      <c r="D26" s="13"/>
      <c r="E26" s="13"/>
      <c r="F26" s="13">
        <f>'[3]Haute-Saône'!K64</f>
        <v>33727.37351858757</v>
      </c>
      <c r="G26" s="13">
        <f>'[3]Haute-Saône'!L64</f>
        <v>157956.8119842415</v>
      </c>
      <c r="H26" s="5"/>
    </row>
    <row r="27" spans="1:8" ht="18" customHeight="1">
      <c r="A27" t="s">
        <v>29</v>
      </c>
      <c r="E27" s="13">
        <f>[3]Marne!J93</f>
        <v>104567.62653245758</v>
      </c>
      <c r="F27" s="13">
        <f>[3]Marne!K93</f>
        <v>440488.0301924551</v>
      </c>
      <c r="G27" s="13">
        <f>[3]Marne!L93</f>
        <v>20094.343275087325</v>
      </c>
      <c r="H27" s="5"/>
    </row>
    <row r="28" spans="1:8" ht="18" customHeight="1">
      <c r="A28" t="s">
        <v>28</v>
      </c>
      <c r="C28" s="13">
        <f>'[3]Meurthe-et-Moselle'!H135</f>
        <v>151160.98966381539</v>
      </c>
      <c r="D28" s="13">
        <f>'[3]Meurthe-et-Moselle'!I135</f>
        <v>476417.54783304728</v>
      </c>
      <c r="E28" s="13">
        <f>'[3]Meurthe-et-Moselle'!J135</f>
        <v>84036.160662804657</v>
      </c>
      <c r="F28" s="13">
        <f>'[3]Meurthe-et-Moselle'!K135</f>
        <v>2164.3018403326573</v>
      </c>
      <c r="G28" s="13"/>
      <c r="H28" s="5"/>
    </row>
    <row r="29" spans="1:8" ht="18" customHeight="1">
      <c r="A29" t="s">
        <v>27</v>
      </c>
      <c r="C29" s="13">
        <f>[3]Meuse!H73</f>
        <v>18677.290340352098</v>
      </c>
      <c r="D29" s="13">
        <f>[3]Meuse!I73</f>
        <v>62272.298109875155</v>
      </c>
      <c r="E29" s="13">
        <f>[3]Meuse!J73</f>
        <v>96308.706078699848</v>
      </c>
      <c r="F29" s="13">
        <f>[3]Meuse!K73</f>
        <v>16664.705471072906</v>
      </c>
      <c r="G29" s="13"/>
      <c r="H29" s="5"/>
    </row>
    <row r="30" spans="1:8" ht="18" customHeight="1">
      <c r="A30" t="s">
        <v>26</v>
      </c>
      <c r="C30" s="13">
        <f>[3]Moselle!H214</f>
        <v>585108.8982319053</v>
      </c>
      <c r="D30" s="13">
        <f>[3]Moselle!I214</f>
        <v>386426.50123803952</v>
      </c>
      <c r="E30" s="13">
        <f>[3]Moselle!J214</f>
        <v>64304.261170351754</v>
      </c>
      <c r="F30" s="13">
        <f>[3]Moselle!K214</f>
        <v>936.33935970336825</v>
      </c>
      <c r="G30" s="13"/>
      <c r="H30" s="5"/>
    </row>
    <row r="31" spans="1:8" ht="18" customHeight="1">
      <c r="A31" t="s">
        <v>25</v>
      </c>
      <c r="F31" s="13">
        <f>[3]Nord!K379</f>
        <v>262418.67080684478</v>
      </c>
      <c r="G31" s="13">
        <f>[3]Nord!L379</f>
        <v>1719992.1642015071</v>
      </c>
    </row>
    <row r="32" spans="1:8" ht="18" customHeight="1">
      <c r="A32" t="s">
        <v>24</v>
      </c>
      <c r="G32" s="13">
        <f>'[3]Seine-et-Marne'!L215</f>
        <v>180961.48252797007</v>
      </c>
    </row>
    <row r="33" spans="1:9" ht="18" customHeight="1" thickBot="1">
      <c r="A33" s="22" t="s">
        <v>23</v>
      </c>
      <c r="B33" s="22"/>
      <c r="C33" s="21"/>
      <c r="D33" s="21"/>
      <c r="E33" s="21">
        <f>[3]Vosges!J103</f>
        <v>150519.89395182973</v>
      </c>
      <c r="F33" s="21">
        <f>[3]Vosges!K103</f>
        <v>207374.24798347155</v>
      </c>
      <c r="G33" s="21">
        <f>[3]Vosges!L103</f>
        <v>21829.858064698725</v>
      </c>
    </row>
    <row r="34" spans="1:9" ht="18" customHeight="1" thickTop="1">
      <c r="A34" s="15" t="s">
        <v>22</v>
      </c>
      <c r="C34" s="13">
        <f>SUM(C20:C33)</f>
        <v>754947.17823607277</v>
      </c>
      <c r="D34" s="13">
        <f>SUM(D20:D33)</f>
        <v>1092661.8811921952</v>
      </c>
      <c r="E34" s="13">
        <f>SUM(E20:E33)</f>
        <v>688195.58349881566</v>
      </c>
      <c r="F34" s="13">
        <f>SUM(F20:F33)</f>
        <v>2055210.2280362598</v>
      </c>
      <c r="G34" s="13">
        <f>SUM(G20:G33)</f>
        <v>3155881.2580195861</v>
      </c>
      <c r="H34" s="14">
        <f>SUM(C34:G34)</f>
        <v>7746896.1289829295</v>
      </c>
    </row>
    <row r="35" spans="1:9" ht="18" customHeight="1">
      <c r="C35" s="13"/>
      <c r="D35" s="13"/>
      <c r="E35" s="13"/>
      <c r="F35" s="13"/>
      <c r="G35" s="13"/>
    </row>
    <row r="36" spans="1:9" ht="18" customHeight="1">
      <c r="A36" s="15" t="s">
        <v>21</v>
      </c>
      <c r="C36" s="13">
        <f>[1]Récapitulatif!$E$7</f>
        <v>537039</v>
      </c>
      <c r="D36" s="13"/>
      <c r="E36" s="13"/>
      <c r="F36" s="13"/>
      <c r="G36" s="13"/>
      <c r="H36" s="14">
        <f>SUM(C36:G36)</f>
        <v>537039</v>
      </c>
    </row>
    <row r="37" spans="1:9" ht="18" customHeight="1">
      <c r="C37" s="13"/>
      <c r="D37" s="13"/>
      <c r="E37" s="13"/>
      <c r="F37" s="13"/>
      <c r="G37" s="13"/>
    </row>
    <row r="38" spans="1:9" ht="18" customHeight="1">
      <c r="A38" s="15" t="s">
        <v>20</v>
      </c>
      <c r="C38" s="13"/>
      <c r="D38" s="13"/>
      <c r="H38" s="25"/>
    </row>
    <row r="39" spans="1:9" ht="18" customHeight="1">
      <c r="A39" s="26" t="s">
        <v>19</v>
      </c>
      <c r="C39" s="13"/>
      <c r="D39" s="13"/>
      <c r="E39" s="13">
        <f>'[2] Netherlands &amp; Flemish Language'!$H$55</f>
        <v>146937</v>
      </c>
      <c r="F39" s="13">
        <f>'[2] Netherlands &amp; Flemish Language'!$I$55</f>
        <v>582819</v>
      </c>
      <c r="G39" s="13">
        <f>'[2] Netherlands &amp; Flemish Language'!$J$55</f>
        <v>331391</v>
      </c>
      <c r="H39" s="25"/>
    </row>
    <row r="40" spans="1:9" ht="18" customHeight="1">
      <c r="A40" s="26" t="s">
        <v>18</v>
      </c>
      <c r="C40" s="13"/>
      <c r="D40" s="13"/>
      <c r="E40" s="13"/>
      <c r="F40" s="13"/>
      <c r="G40" s="13">
        <f>'[2] Netherlands &amp; Flemish Language'!$J$99</f>
        <v>1345463</v>
      </c>
      <c r="H40" s="25"/>
    </row>
    <row r="41" spans="1:9" ht="18" customHeight="1">
      <c r="A41" s="26" t="s">
        <v>17</v>
      </c>
      <c r="C41" s="13"/>
      <c r="D41" s="13"/>
      <c r="E41" s="13"/>
      <c r="F41" s="13"/>
      <c r="G41" s="13">
        <f>'[2] Netherlands &amp; Flemish Language'!$J$108</f>
        <v>82301</v>
      </c>
      <c r="H41" s="25"/>
    </row>
    <row r="42" spans="1:9" ht="18" customHeight="1" thickBot="1">
      <c r="A42" s="24"/>
      <c r="B42" s="22"/>
      <c r="C42" s="21"/>
      <c r="D42" s="21"/>
      <c r="E42" s="21"/>
      <c r="F42" s="21"/>
      <c r="G42" s="21"/>
      <c r="H42" s="23"/>
    </row>
    <row r="43" spans="1:9" ht="18" customHeight="1" thickTop="1" thickBot="1">
      <c r="A43" s="15" t="s">
        <v>16</v>
      </c>
      <c r="C43" s="22"/>
      <c r="D43" s="22"/>
      <c r="E43" s="21">
        <f>'[2] Netherlands &amp; Flemish Language'!$H$111</f>
        <v>146937</v>
      </c>
      <c r="F43" s="21">
        <f>'[2] Netherlands &amp; Flemish Language'!$I$111</f>
        <v>582819</v>
      </c>
      <c r="G43" s="21">
        <f>'[2] Netherlands &amp; Flemish Language'!$J$111</f>
        <v>1759155</v>
      </c>
      <c r="H43" s="20">
        <f>SUM(E43:G43)</f>
        <v>2488911</v>
      </c>
    </row>
    <row r="44" spans="1:9" ht="18" customHeight="1" thickTop="1" thickBot="1">
      <c r="A44" s="19"/>
      <c r="C44" s="18"/>
      <c r="D44" s="18"/>
      <c r="E44" s="17"/>
      <c r="F44" s="17"/>
      <c r="G44" s="17"/>
      <c r="H44" s="16"/>
    </row>
    <row r="45" spans="1:9" ht="21" customHeight="1" thickBot="1">
      <c r="A45" s="105" t="s">
        <v>15</v>
      </c>
      <c r="B45" s="107"/>
      <c r="C45" s="112">
        <f>C34+C17+C15+C36+C38</f>
        <v>2074070.1929949443</v>
      </c>
      <c r="D45" s="112">
        <f>D34+D17+D15+D36+D38</f>
        <v>2451295.3385470575</v>
      </c>
      <c r="E45" s="112">
        <f>E34+E17+E15+E36+E43</f>
        <v>4393134.4184278343</v>
      </c>
      <c r="F45" s="112">
        <f>F34+F17+F15+F36+F43</f>
        <v>14591900.176911891</v>
      </c>
      <c r="G45" s="112">
        <f>G34+G17+G15+G36+G43</f>
        <v>17591968.06719318</v>
      </c>
      <c r="H45" s="106">
        <f>SUM(C45:G45)</f>
        <v>41102368.194074906</v>
      </c>
      <c r="I45" s="5"/>
    </row>
    <row r="46" spans="1:9" ht="18" customHeight="1">
      <c r="A46" s="87"/>
      <c r="B46" s="87"/>
      <c r="C46" s="87"/>
      <c r="D46" s="87"/>
      <c r="E46" s="87"/>
      <c r="F46" s="87"/>
      <c r="G46" s="87"/>
      <c r="H46" s="87"/>
    </row>
    <row r="47" spans="1:9" ht="18" customHeight="1">
      <c r="A47" s="87" t="s">
        <v>120</v>
      </c>
      <c r="B47" s="87"/>
      <c r="C47" s="116" t="s">
        <v>4</v>
      </c>
      <c r="D47" s="117" t="s">
        <v>3</v>
      </c>
      <c r="E47" s="117" t="s">
        <v>2</v>
      </c>
      <c r="F47" s="118" t="s">
        <v>1</v>
      </c>
      <c r="G47" s="118" t="s">
        <v>0</v>
      </c>
      <c r="H47" s="87"/>
    </row>
    <row r="48" spans="1:9" ht="18" customHeight="1" thickBot="1">
      <c r="A48" s="87"/>
      <c r="B48" s="87"/>
      <c r="C48" s="87"/>
      <c r="D48" s="87"/>
      <c r="E48" s="87"/>
      <c r="F48" s="87"/>
      <c r="G48" s="87"/>
      <c r="H48" s="87"/>
    </row>
    <row r="49" spans="1:10" ht="21" customHeight="1" thickBot="1">
      <c r="A49" s="105" t="s">
        <v>14</v>
      </c>
      <c r="B49" s="107"/>
      <c r="C49" s="108">
        <f>'[4]SUISSE PAR CANTON '!$E$41</f>
        <v>3057089.0986797307</v>
      </c>
      <c r="D49" s="108">
        <f>'[4]SUISSE PAR CANTON '!$F$41</f>
        <v>2692078.9833121393</v>
      </c>
      <c r="E49" s="108">
        <f>'[4]SUISSE PAR CANTON '!$G$41</f>
        <v>3939545.4461960495</v>
      </c>
      <c r="F49" s="108">
        <f>'[4]SUISSE PAR CANTON '!$H$41</f>
        <v>5567703.0119465338</v>
      </c>
      <c r="G49" s="108">
        <f>'[4]SUISSE PAR CANTON '!$I$41</f>
        <v>5395866.0604917901</v>
      </c>
      <c r="H49" s="106">
        <f>SUM(C49:G49)</f>
        <v>20652282.600626241</v>
      </c>
    </row>
    <row r="50" spans="1:10" ht="18" customHeight="1">
      <c r="I50" s="5"/>
      <c r="J50" s="5"/>
    </row>
    <row r="51" spans="1:10" ht="18" customHeight="1">
      <c r="C51" s="13"/>
      <c r="D51" s="13"/>
      <c r="E51" s="13"/>
      <c r="F51" s="13"/>
      <c r="G51" s="13"/>
      <c r="H51" s="5"/>
    </row>
    <row r="52" spans="1:10" ht="18" customHeight="1">
      <c r="A52" s="12" t="s">
        <v>13</v>
      </c>
    </row>
    <row r="53" spans="1:10" ht="18" customHeight="1">
      <c r="A53" s="10" t="s">
        <v>119</v>
      </c>
    </row>
    <row r="54" spans="1:10" ht="18" customHeight="1">
      <c r="A54" t="s">
        <v>8</v>
      </c>
    </row>
    <row r="55" spans="1:10" ht="18" customHeight="1">
      <c r="A55" t="s">
        <v>6</v>
      </c>
      <c r="C55" s="5">
        <f>C49-C45</f>
        <v>983018.90568478638</v>
      </c>
      <c r="D55" s="5">
        <f>D49-D45</f>
        <v>240783.64476508182</v>
      </c>
    </row>
    <row r="56" spans="1:10" ht="18" customHeight="1">
      <c r="A56" t="s">
        <v>5</v>
      </c>
      <c r="E56" s="5">
        <f>E45-E49</f>
        <v>453588.97223178484</v>
      </c>
      <c r="F56" s="5">
        <f>F45-F49</f>
        <v>9024197.1649653576</v>
      </c>
      <c r="G56" s="5">
        <f>G45-G49</f>
        <v>12196102.006701391</v>
      </c>
    </row>
    <row r="57" spans="1:10" ht="18" customHeight="1">
      <c r="E57" s="5"/>
      <c r="F57" s="5"/>
      <c r="G57" s="5"/>
    </row>
    <row r="58" spans="1:10" ht="18" customHeight="1">
      <c r="A58" t="s">
        <v>7</v>
      </c>
    </row>
    <row r="59" spans="1:10" ht="18" customHeight="1">
      <c r="A59" t="s">
        <v>6</v>
      </c>
      <c r="C59" s="4">
        <f>C55/C45</f>
        <v>0.47395643069597043</v>
      </c>
      <c r="D59" s="4">
        <f>D55/D45</f>
        <v>9.8227105065112286E-2</v>
      </c>
      <c r="E59" s="11"/>
      <c r="F59" s="11"/>
      <c r="G59" s="11"/>
    </row>
    <row r="60" spans="1:10" ht="18" customHeight="1">
      <c r="A60" t="s">
        <v>5</v>
      </c>
      <c r="C60" s="11"/>
      <c r="D60" s="11"/>
      <c r="E60" s="4">
        <f>E56/E49</f>
        <v>0.11513738791102456</v>
      </c>
      <c r="F60" s="4">
        <f>F56/F49</f>
        <v>1.6208115169940418</v>
      </c>
      <c r="G60" s="4">
        <f>G56/G49</f>
        <v>2.2602677438568248</v>
      </c>
    </row>
    <row r="62" spans="1:10" ht="18" customHeight="1">
      <c r="A62" s="10" t="s">
        <v>12</v>
      </c>
    </row>
    <row r="63" spans="1:10" ht="18" customHeight="1">
      <c r="A63" t="s">
        <v>11</v>
      </c>
    </row>
    <row r="64" spans="1:10" ht="18" customHeight="1">
      <c r="A64" s="9" t="s">
        <v>9</v>
      </c>
      <c r="C64" s="5">
        <f>C49</f>
        <v>3057089.0986797307</v>
      </c>
    </row>
    <row r="65" spans="1:11" ht="18" customHeight="1">
      <c r="A65" s="8" t="s">
        <v>3</v>
      </c>
      <c r="D65" s="5">
        <f>C49+D49</f>
        <v>5749168.08199187</v>
      </c>
    </row>
    <row r="66" spans="1:11" ht="18" customHeight="1">
      <c r="A66" s="8" t="s">
        <v>2</v>
      </c>
      <c r="E66" s="5">
        <f>D65+E49</f>
        <v>9688713.5281879194</v>
      </c>
    </row>
    <row r="67" spans="1:11" ht="18" customHeight="1">
      <c r="A67" s="7" t="s">
        <v>1</v>
      </c>
      <c r="F67" s="5">
        <f>E66+F49</f>
        <v>15256416.540134452</v>
      </c>
    </row>
    <row r="68" spans="1:11" ht="18" customHeight="1">
      <c r="A68" s="7" t="s">
        <v>0</v>
      </c>
      <c r="G68" s="5">
        <f>F67+G49</f>
        <v>20652282.600626241</v>
      </c>
    </row>
    <row r="70" spans="1:11" ht="18" customHeight="1">
      <c r="A70" t="s">
        <v>10</v>
      </c>
    </row>
    <row r="71" spans="1:11" ht="18" customHeight="1">
      <c r="A71" s="9" t="s">
        <v>9</v>
      </c>
      <c r="C71" s="5">
        <f>C45</f>
        <v>2074070.1929949443</v>
      </c>
    </row>
    <row r="72" spans="1:11" ht="18" customHeight="1">
      <c r="A72" s="8" t="s">
        <v>3</v>
      </c>
      <c r="D72" s="5">
        <f>C71+D45</f>
        <v>4525365.5315420013</v>
      </c>
    </row>
    <row r="73" spans="1:11" ht="18" customHeight="1">
      <c r="A73" s="8" t="s">
        <v>2</v>
      </c>
      <c r="E73" s="5">
        <f>D72+E45</f>
        <v>8918499.9499698356</v>
      </c>
    </row>
    <row r="74" spans="1:11" ht="18" customHeight="1">
      <c r="A74" s="7" t="s">
        <v>1</v>
      </c>
      <c r="F74" s="5">
        <f>E73+F45</f>
        <v>23510400.126881726</v>
      </c>
      <c r="I74" s="6"/>
    </row>
    <row r="75" spans="1:11" ht="18" customHeight="1">
      <c r="A75" s="7" t="s">
        <v>0</v>
      </c>
      <c r="G75" s="5">
        <f>F74+G45</f>
        <v>41102368.194074906</v>
      </c>
    </row>
    <row r="76" spans="1:11" ht="18" customHeight="1">
      <c r="K76" s="6"/>
    </row>
    <row r="77" spans="1:11" ht="18" customHeight="1">
      <c r="A77" t="s">
        <v>8</v>
      </c>
    </row>
    <row r="78" spans="1:11" ht="18" customHeight="1">
      <c r="A78" t="s">
        <v>6</v>
      </c>
      <c r="C78" s="5">
        <f>C64-C71</f>
        <v>983018.90568478638</v>
      </c>
      <c r="D78" s="5">
        <f>D65-D72</f>
        <v>1223802.5504498687</v>
      </c>
      <c r="E78" s="5">
        <f>E66-E73</f>
        <v>770213.57821808383</v>
      </c>
    </row>
    <row r="79" spans="1:11" ht="18" customHeight="1">
      <c r="A79" t="s">
        <v>5</v>
      </c>
      <c r="E79" s="5"/>
      <c r="F79" s="5">
        <f>F74-F67</f>
        <v>8253983.5867472738</v>
      </c>
      <c r="G79" s="5">
        <f>G75-G68</f>
        <v>20450085.593448665</v>
      </c>
    </row>
    <row r="81" spans="1:7" ht="18" customHeight="1">
      <c r="A81" t="s">
        <v>7</v>
      </c>
    </row>
    <row r="82" spans="1:7" ht="18" customHeight="1">
      <c r="A82" t="s">
        <v>6</v>
      </c>
      <c r="C82" s="110">
        <f>C78/C71</f>
        <v>0.47395643069597043</v>
      </c>
      <c r="D82" s="110">
        <f>D78/D72</f>
        <v>0.27043175671001818</v>
      </c>
      <c r="E82" s="111">
        <f>E78/E73</f>
        <v>8.6361336832287458E-2</v>
      </c>
      <c r="F82" s="110"/>
      <c r="G82" s="110"/>
    </row>
    <row r="83" spans="1:7" ht="18" customHeight="1">
      <c r="A83" t="s">
        <v>5</v>
      </c>
      <c r="C83" s="110"/>
      <c r="D83" s="110"/>
      <c r="E83" s="110"/>
      <c r="F83" s="110">
        <f>F79/F67</f>
        <v>0.54101718873720084</v>
      </c>
      <c r="G83" s="110">
        <f>G79/G68</f>
        <v>0.99020945959884143</v>
      </c>
    </row>
    <row r="85" spans="1:7" ht="18" customHeight="1">
      <c r="C85" s="3" t="s">
        <v>4</v>
      </c>
      <c r="D85" s="2" t="s">
        <v>3</v>
      </c>
      <c r="E85" s="2" t="s">
        <v>2</v>
      </c>
      <c r="F85" s="1" t="s">
        <v>1</v>
      </c>
      <c r="G85" s="1" t="s">
        <v>0</v>
      </c>
    </row>
  </sheetData>
  <mergeCells count="3">
    <mergeCell ref="A4:H4"/>
    <mergeCell ref="A3:H3"/>
    <mergeCell ref="A2:H2"/>
  </mergeCells>
  <phoneticPr fontId="5" type="noConversion"/>
  <printOptions horizontalCentered="1" verticalCentered="1"/>
  <pageMargins left="0" right="0" top="0.5" bottom="0" header="0" footer="0"/>
  <pageSetup paperSize="3" scale="75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A2" sqref="A2"/>
    </sheetView>
  </sheetViews>
  <sheetFormatPr baseColWidth="10" defaultRowHeight="15" x14ac:dyDescent="0"/>
  <cols>
    <col min="1" max="1" width="13.1640625" customWidth="1"/>
    <col min="2" max="2" width="20.5" customWidth="1"/>
    <col min="3" max="5" width="13.1640625" bestFit="1" customWidth="1"/>
    <col min="6" max="8" width="14.1640625" bestFit="1" customWidth="1"/>
  </cols>
  <sheetData>
    <row r="1" spans="1:8" ht="41" customHeight="1">
      <c r="A1" s="184" t="s">
        <v>123</v>
      </c>
      <c r="B1" s="184"/>
      <c r="C1" s="184"/>
      <c r="D1" s="184"/>
      <c r="E1" s="184"/>
      <c r="F1" s="184"/>
      <c r="G1" s="184"/>
      <c r="H1" s="184"/>
    </row>
    <row r="2" spans="1:8" ht="44" customHeight="1">
      <c r="A2" s="159" t="s">
        <v>156</v>
      </c>
    </row>
    <row r="3" spans="1:8" ht="31" customHeight="1">
      <c r="A3" s="183" t="s">
        <v>152</v>
      </c>
      <c r="B3" s="183"/>
      <c r="C3" s="183"/>
      <c r="D3" s="183"/>
      <c r="E3" s="183"/>
      <c r="F3" s="183"/>
      <c r="G3" s="183"/>
      <c r="H3" s="183"/>
    </row>
    <row r="4" spans="1:8" ht="16">
      <c r="A4" s="154"/>
      <c r="B4" s="154"/>
      <c r="C4" s="154"/>
      <c r="D4" s="154"/>
      <c r="E4" s="154"/>
      <c r="F4" s="154"/>
      <c r="G4" s="154"/>
      <c r="H4" s="154"/>
    </row>
    <row r="5" spans="1:8">
      <c r="A5" t="s">
        <v>151</v>
      </c>
    </row>
    <row r="6" spans="1:8" ht="16" thickBot="1"/>
    <row r="7" spans="1:8" ht="16" thickBot="1">
      <c r="A7" s="181" t="s">
        <v>150</v>
      </c>
      <c r="B7" s="182"/>
      <c r="C7" s="149" t="s">
        <v>4</v>
      </c>
      <c r="D7" s="150" t="s">
        <v>3</v>
      </c>
      <c r="E7" s="150" t="s">
        <v>2</v>
      </c>
      <c r="F7" s="151" t="s">
        <v>1</v>
      </c>
      <c r="G7" s="150" t="s">
        <v>0</v>
      </c>
      <c r="H7" s="152" t="s">
        <v>146</v>
      </c>
    </row>
    <row r="8" spans="1:8">
      <c r="C8" s="87"/>
      <c r="E8" s="87"/>
      <c r="F8" s="119"/>
      <c r="G8" s="87"/>
    </row>
    <row r="9" spans="1:8" ht="18">
      <c r="A9" s="102" t="s">
        <v>149</v>
      </c>
      <c r="C9" s="87"/>
      <c r="E9" s="87"/>
      <c r="F9" s="119"/>
      <c r="G9" s="87"/>
    </row>
    <row r="10" spans="1:8" ht="20" customHeight="1">
      <c r="A10" s="13" t="s">
        <v>128</v>
      </c>
      <c r="B10" s="13"/>
      <c r="C10" s="141">
        <f>ROUND(2074070.19299494,-5)</f>
        <v>2100000</v>
      </c>
      <c r="D10" s="13">
        <f>ROUND(2451295.33854706,-5)</f>
        <v>2500000</v>
      </c>
      <c r="E10" s="141">
        <f>ROUND(4393134.41842783,-5)</f>
        <v>4400000</v>
      </c>
      <c r="F10" s="120">
        <f>ROUND(14591900.1769119,-5)</f>
        <v>14600000</v>
      </c>
      <c r="G10" s="141">
        <f>ROUND(17591968.0671932,-5)</f>
        <v>17600000</v>
      </c>
      <c r="H10" s="13">
        <f>SUM(C10:G10)</f>
        <v>41200000</v>
      </c>
    </row>
    <row r="11" spans="1:8">
      <c r="A11" s="13"/>
      <c r="B11" s="13"/>
      <c r="C11" s="141"/>
      <c r="D11" s="13"/>
      <c r="E11" s="141"/>
      <c r="F11" s="120"/>
      <c r="G11" s="141"/>
    </row>
    <row r="12" spans="1:8">
      <c r="A12" s="13" t="s">
        <v>129</v>
      </c>
      <c r="B12" s="13"/>
      <c r="C12" s="141">
        <f>ROUND(3062670.0986797,-5)</f>
        <v>3100000</v>
      </c>
      <c r="D12" s="13">
        <f>ROUND(2608561.98331214,-5)</f>
        <v>2600000</v>
      </c>
      <c r="E12" s="141">
        <f>ROUND(3939545.44619605,-5)</f>
        <v>3900000</v>
      </c>
      <c r="F12" s="120">
        <f>ROUND(5567703.01194653,-5)</f>
        <v>5600000</v>
      </c>
      <c r="G12" s="141">
        <f>ROUND(5395866.06049179,-5)</f>
        <v>5400000</v>
      </c>
      <c r="H12" s="13">
        <f>SUM(C12:G12)</f>
        <v>20600000</v>
      </c>
    </row>
    <row r="13" spans="1:8">
      <c r="A13" s="13"/>
      <c r="B13" s="13"/>
      <c r="C13" s="141"/>
      <c r="D13" s="13"/>
      <c r="E13" s="141"/>
      <c r="F13" s="120"/>
      <c r="G13" s="141"/>
    </row>
    <row r="14" spans="1:8">
      <c r="A14" s="13"/>
      <c r="B14" s="13"/>
      <c r="C14" s="141"/>
      <c r="D14" s="13"/>
      <c r="E14" s="141"/>
      <c r="F14" s="120"/>
      <c r="G14" s="141"/>
      <c r="H14" s="13"/>
    </row>
    <row r="15" spans="1:8" ht="27" customHeight="1" thickBot="1">
      <c r="A15" s="153" t="s">
        <v>148</v>
      </c>
      <c r="B15" s="13"/>
      <c r="C15" s="141"/>
      <c r="D15" s="13"/>
      <c r="E15" s="141"/>
      <c r="F15" s="120"/>
      <c r="G15" s="141"/>
      <c r="H15" s="13"/>
    </row>
    <row r="16" spans="1:8" ht="29" customHeight="1">
      <c r="A16" s="139" t="s">
        <v>147</v>
      </c>
      <c r="B16" s="68"/>
      <c r="C16" s="69"/>
      <c r="D16" s="68"/>
      <c r="E16" s="69"/>
      <c r="F16" s="121"/>
      <c r="G16" s="144"/>
      <c r="H16" s="13"/>
    </row>
    <row r="17" spans="1:8" ht="29" customHeight="1">
      <c r="A17" s="138" t="s">
        <v>133</v>
      </c>
      <c r="B17" s="17"/>
      <c r="C17" s="51"/>
      <c r="D17" s="17"/>
      <c r="E17" s="51"/>
      <c r="F17" s="123"/>
      <c r="G17" s="66"/>
      <c r="H17" s="13"/>
    </row>
    <row r="18" spans="1:8">
      <c r="A18" s="52"/>
      <c r="B18" s="135" t="s">
        <v>140</v>
      </c>
      <c r="C18" s="51">
        <f>C12</f>
        <v>3100000</v>
      </c>
      <c r="D18" s="17"/>
      <c r="E18" s="51"/>
      <c r="F18" s="123"/>
      <c r="G18" s="66"/>
      <c r="H18" s="13"/>
    </row>
    <row r="19" spans="1:8">
      <c r="A19" s="52"/>
      <c r="B19" s="135" t="s">
        <v>141</v>
      </c>
      <c r="C19" s="51"/>
      <c r="D19" s="17">
        <f>C18+D12</f>
        <v>5700000</v>
      </c>
      <c r="E19" s="51"/>
      <c r="F19" s="123"/>
      <c r="G19" s="66"/>
      <c r="H19" s="13"/>
    </row>
    <row r="20" spans="1:8">
      <c r="A20" s="52"/>
      <c r="B20" s="135" t="s">
        <v>142</v>
      </c>
      <c r="C20" s="51"/>
      <c r="D20" s="17"/>
      <c r="E20" s="51">
        <f>D19+E12</f>
        <v>9600000</v>
      </c>
      <c r="F20" s="123"/>
      <c r="G20" s="66"/>
      <c r="H20" s="13"/>
    </row>
    <row r="21" spans="1:8">
      <c r="A21" s="52"/>
      <c r="B21" s="136" t="s">
        <v>143</v>
      </c>
      <c r="C21" s="130"/>
      <c r="D21" s="130"/>
      <c r="E21" s="130"/>
      <c r="F21" s="130">
        <f>E20+F12</f>
        <v>15200000</v>
      </c>
      <c r="G21" s="66"/>
      <c r="H21" s="13"/>
    </row>
    <row r="22" spans="1:8">
      <c r="A22" s="52"/>
      <c r="B22" s="135" t="s">
        <v>144</v>
      </c>
      <c r="C22" s="51"/>
      <c r="D22" s="17"/>
      <c r="E22" s="51"/>
      <c r="F22" s="123"/>
      <c r="G22" s="66">
        <f>F21+G12</f>
        <v>20600000</v>
      </c>
      <c r="H22" s="13"/>
    </row>
    <row r="23" spans="1:8">
      <c r="A23" s="122"/>
      <c r="B23" s="126"/>
      <c r="C23" s="51"/>
      <c r="D23" s="17"/>
      <c r="E23" s="51"/>
      <c r="F23" s="123"/>
      <c r="G23" s="66"/>
      <c r="H23" s="13"/>
    </row>
    <row r="24" spans="1:8">
      <c r="A24" s="138" t="s">
        <v>139</v>
      </c>
      <c r="B24" s="126"/>
      <c r="C24" s="51"/>
      <c r="D24" s="17"/>
      <c r="E24" s="51"/>
      <c r="F24" s="123"/>
      <c r="G24" s="66"/>
      <c r="H24" s="13"/>
    </row>
    <row r="25" spans="1:8">
      <c r="A25" s="122"/>
      <c r="B25" s="127" t="s">
        <v>135</v>
      </c>
      <c r="C25" s="51">
        <f>C10</f>
        <v>2100000</v>
      </c>
      <c r="D25" s="17"/>
      <c r="E25" s="51"/>
      <c r="F25" s="123"/>
      <c r="G25" s="66"/>
      <c r="H25" s="13"/>
    </row>
    <row r="26" spans="1:8">
      <c r="A26" s="122"/>
      <c r="B26" s="126" t="s">
        <v>134</v>
      </c>
      <c r="C26" s="51"/>
      <c r="D26" s="17">
        <f>C25+D10</f>
        <v>4600000</v>
      </c>
      <c r="E26" s="51"/>
      <c r="F26" s="123"/>
      <c r="G26" s="66"/>
      <c r="H26" s="13"/>
    </row>
    <row r="27" spans="1:8">
      <c r="A27" s="122"/>
      <c r="B27" s="126" t="s">
        <v>138</v>
      </c>
      <c r="C27" s="51"/>
      <c r="D27" s="17"/>
      <c r="E27" s="51">
        <f>D26+E10</f>
        <v>9000000</v>
      </c>
      <c r="F27" s="123"/>
      <c r="G27" s="66"/>
      <c r="H27" s="13"/>
    </row>
    <row r="28" spans="1:8">
      <c r="A28" s="122"/>
      <c r="B28" s="131" t="s">
        <v>137</v>
      </c>
      <c r="C28" s="130"/>
      <c r="D28" s="130"/>
      <c r="E28" s="130"/>
      <c r="F28" s="130">
        <f>E27+F10</f>
        <v>23600000</v>
      </c>
      <c r="G28" s="66"/>
      <c r="H28" s="13"/>
    </row>
    <row r="29" spans="1:8">
      <c r="A29" s="122"/>
      <c r="B29" s="127" t="s">
        <v>136</v>
      </c>
      <c r="C29" s="51"/>
      <c r="D29" s="17"/>
      <c r="E29" s="51"/>
      <c r="F29" s="123"/>
      <c r="G29" s="66">
        <f>F28+G10</f>
        <v>41200000</v>
      </c>
      <c r="H29" s="13"/>
    </row>
    <row r="30" spans="1:8">
      <c r="A30" s="122"/>
      <c r="B30" s="17"/>
      <c r="C30" s="51"/>
      <c r="D30" s="17"/>
      <c r="E30" s="51"/>
      <c r="F30" s="123"/>
      <c r="G30" s="66"/>
      <c r="H30" s="13"/>
    </row>
    <row r="31" spans="1:8">
      <c r="A31" s="138" t="s">
        <v>145</v>
      </c>
      <c r="B31" s="17"/>
      <c r="C31" s="51"/>
      <c r="D31" s="17"/>
      <c r="E31" s="51"/>
      <c r="F31" s="123"/>
      <c r="G31" s="66"/>
      <c r="H31" s="13"/>
    </row>
    <row r="32" spans="1:8">
      <c r="A32" s="122" t="s">
        <v>6</v>
      </c>
      <c r="B32" s="17"/>
      <c r="C32" s="51">
        <f>C18-C25</f>
        <v>1000000</v>
      </c>
      <c r="D32" s="17">
        <f>D19-D26</f>
        <v>1100000</v>
      </c>
      <c r="E32" s="51">
        <f>E20-E27</f>
        <v>600000</v>
      </c>
      <c r="F32" s="123"/>
      <c r="G32" s="66"/>
      <c r="H32" s="13"/>
    </row>
    <row r="33" spans="1:8">
      <c r="A33" s="140" t="s">
        <v>5</v>
      </c>
      <c r="B33" s="130"/>
      <c r="C33" s="130"/>
      <c r="D33" s="130"/>
      <c r="E33" s="130"/>
      <c r="F33" s="130">
        <f>F28-F21</f>
        <v>8400000</v>
      </c>
      <c r="G33" s="66">
        <f>G29-G22</f>
        <v>20600000</v>
      </c>
      <c r="H33" s="13"/>
    </row>
    <row r="34" spans="1:8">
      <c r="A34" s="122"/>
      <c r="B34" s="17"/>
      <c r="C34" s="51"/>
      <c r="D34" s="17"/>
      <c r="E34" s="51"/>
      <c r="F34" s="123"/>
      <c r="G34" s="66"/>
      <c r="H34" s="13"/>
    </row>
    <row r="35" spans="1:8">
      <c r="A35" s="138" t="s">
        <v>7</v>
      </c>
      <c r="B35" s="17"/>
      <c r="C35" s="51"/>
      <c r="D35" s="17"/>
      <c r="E35" s="51"/>
      <c r="F35" s="123"/>
      <c r="G35" s="66"/>
      <c r="H35" s="13"/>
    </row>
    <row r="36" spans="1:8">
      <c r="A36" s="122" t="s">
        <v>6</v>
      </c>
      <c r="B36" s="17"/>
      <c r="C36" s="142">
        <v>0.4766472750168857</v>
      </c>
      <c r="D36" s="128">
        <v>0.25320972249934892</v>
      </c>
      <c r="E36" s="142">
        <v>7.7622647541801607E-2</v>
      </c>
      <c r="F36" s="129"/>
      <c r="G36" s="145"/>
      <c r="H36" s="13"/>
    </row>
    <row r="37" spans="1:8" ht="16" thickBot="1">
      <c r="A37" s="132" t="s">
        <v>5</v>
      </c>
      <c r="B37" s="133"/>
      <c r="C37" s="134"/>
      <c r="D37" s="134"/>
      <c r="E37" s="134"/>
      <c r="F37" s="134">
        <v>0.54892975385225673</v>
      </c>
      <c r="G37" s="146">
        <v>0.99774840931394793</v>
      </c>
      <c r="H37" s="13"/>
    </row>
    <row r="38" spans="1:8" ht="16" thickBot="1">
      <c r="A38" s="13"/>
      <c r="B38" s="13"/>
      <c r="C38" s="13"/>
      <c r="D38" s="13"/>
      <c r="E38" s="13"/>
      <c r="F38" s="120"/>
      <c r="G38" s="141"/>
      <c r="H38" s="13"/>
    </row>
    <row r="39" spans="1:8" ht="29" customHeight="1">
      <c r="A39" s="139" t="s">
        <v>132</v>
      </c>
      <c r="B39" s="68"/>
      <c r="C39" s="69"/>
      <c r="D39" s="68"/>
      <c r="E39" s="69"/>
      <c r="F39" s="121"/>
      <c r="G39" s="144"/>
      <c r="H39" s="13"/>
    </row>
    <row r="40" spans="1:8">
      <c r="A40" s="122" t="s">
        <v>130</v>
      </c>
      <c r="B40" s="17"/>
      <c r="C40" s="51"/>
      <c r="D40" s="17"/>
      <c r="E40" s="51"/>
      <c r="F40" s="123"/>
      <c r="G40" s="66"/>
      <c r="H40" s="13"/>
    </row>
    <row r="41" spans="1:8">
      <c r="A41" s="122" t="s">
        <v>6</v>
      </c>
      <c r="B41" s="17"/>
      <c r="C41" s="51">
        <f>ROUND(988599.905684786,-5)</f>
        <v>1000000</v>
      </c>
      <c r="D41" s="17">
        <f>ROUND(147266.644765082,-5)</f>
        <v>100000</v>
      </c>
      <c r="E41" s="51"/>
      <c r="F41" s="123"/>
      <c r="G41" s="66"/>
      <c r="H41" s="13"/>
    </row>
    <row r="42" spans="1:8">
      <c r="A42" s="122" t="s">
        <v>5</v>
      </c>
      <c r="B42" s="17"/>
      <c r="C42" s="51"/>
      <c r="D42" s="17"/>
      <c r="E42" s="51">
        <f>ROUND(453588.972231785,-5)</f>
        <v>500000</v>
      </c>
      <c r="F42" s="123">
        <f>ROUND(9024197.16496536,-5)</f>
        <v>9000000</v>
      </c>
      <c r="G42" s="66">
        <f>ROUND(12196102.0067014,-5)</f>
        <v>12200000</v>
      </c>
      <c r="H42" s="13"/>
    </row>
    <row r="43" spans="1:8">
      <c r="A43" s="122"/>
      <c r="B43" s="17"/>
      <c r="C43" s="51"/>
      <c r="D43" s="17"/>
      <c r="E43" s="51"/>
      <c r="F43" s="123"/>
      <c r="G43" s="66"/>
      <c r="H43" s="13"/>
    </row>
    <row r="44" spans="1:8">
      <c r="A44" s="122" t="s">
        <v>131</v>
      </c>
      <c r="B44" s="17"/>
      <c r="C44" s="51"/>
      <c r="D44" s="17"/>
      <c r="E44" s="51"/>
      <c r="F44" s="123"/>
      <c r="G44" s="66"/>
      <c r="H44" s="13"/>
    </row>
    <row r="45" spans="1:8">
      <c r="A45" s="122" t="s">
        <v>6</v>
      </c>
      <c r="B45" s="17"/>
      <c r="C45" s="143">
        <v>0.4766472750168857</v>
      </c>
      <c r="D45" s="124">
        <v>6.4156547068007552E-2</v>
      </c>
      <c r="E45" s="124"/>
      <c r="F45" s="125"/>
      <c r="G45" s="147"/>
      <c r="H45" s="13"/>
    </row>
    <row r="46" spans="1:8" ht="16" thickBot="1">
      <c r="A46" s="132" t="s">
        <v>5</v>
      </c>
      <c r="B46" s="133"/>
      <c r="C46" s="137"/>
      <c r="D46" s="137"/>
      <c r="E46" s="137">
        <v>0.11513738791102456</v>
      </c>
      <c r="F46" s="137">
        <v>1.6208115169940418</v>
      </c>
      <c r="G46" s="148">
        <v>2.2602677438568248</v>
      </c>
      <c r="H46" s="13"/>
    </row>
    <row r="47" spans="1:8" ht="16" thickBot="1">
      <c r="A47" s="13"/>
      <c r="B47" s="13"/>
      <c r="C47" s="149" t="s">
        <v>4</v>
      </c>
      <c r="D47" s="150" t="s">
        <v>3</v>
      </c>
      <c r="E47" s="150" t="s">
        <v>2</v>
      </c>
      <c r="F47" s="151" t="s">
        <v>1</v>
      </c>
      <c r="G47" s="150" t="s">
        <v>0</v>
      </c>
      <c r="H47" s="152" t="s">
        <v>146</v>
      </c>
    </row>
  </sheetData>
  <mergeCells count="3">
    <mergeCell ref="A7:B7"/>
    <mergeCell ref="A3:H3"/>
    <mergeCell ref="A1:H1"/>
  </mergeCells>
  <phoneticPr fontId="5" type="noConversion"/>
  <printOptions horizontalCentered="1" verticalCentered="1"/>
  <pageMargins left="0.25" right="0.25" top="2.75" bottom="0.5" header="0.5" footer="0"/>
  <pageSetup paperSize="3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A3" sqref="A3"/>
    </sheetView>
  </sheetViews>
  <sheetFormatPr baseColWidth="10" defaultRowHeight="15" x14ac:dyDescent="0"/>
  <cols>
    <col min="2" max="2" width="12.83203125" customWidth="1"/>
    <col min="3" max="8" width="12" customWidth="1"/>
    <col min="9" max="9" width="10.6640625" customWidth="1"/>
  </cols>
  <sheetData>
    <row r="1" spans="1:8" ht="18">
      <c r="A1" s="177" t="s">
        <v>123</v>
      </c>
      <c r="B1" s="177"/>
      <c r="C1" s="177"/>
      <c r="D1" s="177"/>
      <c r="E1" s="177"/>
      <c r="F1" s="177"/>
      <c r="G1" s="177"/>
      <c r="H1" s="177"/>
    </row>
    <row r="2" spans="1:8" ht="18">
      <c r="A2" s="160"/>
      <c r="B2" s="160"/>
      <c r="C2" s="160"/>
      <c r="D2" s="160"/>
      <c r="E2" s="160"/>
      <c r="F2" s="160"/>
      <c r="G2" s="160"/>
      <c r="H2" s="160"/>
    </row>
    <row r="3" spans="1:8" ht="18">
      <c r="A3" s="162" t="s">
        <v>157</v>
      </c>
      <c r="B3" s="160"/>
      <c r="C3" s="160"/>
      <c r="D3" s="160"/>
      <c r="E3" s="160"/>
      <c r="F3" s="160"/>
      <c r="G3" s="160"/>
      <c r="H3" s="160"/>
    </row>
    <row r="4" spans="1:8" ht="31" customHeight="1">
      <c r="A4" s="183" t="s">
        <v>57</v>
      </c>
      <c r="B4" s="183"/>
      <c r="C4" s="183"/>
      <c r="D4" s="183"/>
      <c r="E4" s="183"/>
      <c r="F4" s="183"/>
      <c r="G4" s="183"/>
      <c r="H4" s="183"/>
    </row>
    <row r="5" spans="1:8" ht="17" customHeight="1">
      <c r="A5" s="12" t="s">
        <v>56</v>
      </c>
    </row>
    <row r="6" spans="1:8" ht="23" customHeight="1">
      <c r="A6" s="89" t="s">
        <v>55</v>
      </c>
      <c r="C6" s="32" t="s">
        <v>4</v>
      </c>
      <c r="D6" s="88" t="s">
        <v>3</v>
      </c>
      <c r="E6" s="32" t="s">
        <v>2</v>
      </c>
      <c r="F6" s="88" t="s">
        <v>1</v>
      </c>
      <c r="G6" s="32" t="s">
        <v>0</v>
      </c>
      <c r="H6" s="88" t="s">
        <v>47</v>
      </c>
    </row>
    <row r="7" spans="1:8" ht="10" customHeight="1" thickBot="1">
      <c r="D7" s="87"/>
      <c r="F7" s="87"/>
      <c r="H7" s="87"/>
    </row>
    <row r="8" spans="1:8">
      <c r="A8" s="86" t="s">
        <v>46</v>
      </c>
      <c r="B8" s="85"/>
      <c r="C8" s="84">
        <f>ROUND('COMPARAISON DÉTAILLÉE BRUTE'!C7,-5)</f>
        <v>600000</v>
      </c>
      <c r="D8" s="83">
        <f>ROUND('COMPARAISON DÉTAILLÉE BRUTE'!D7,-5)</f>
        <v>1100000</v>
      </c>
      <c r="E8" s="82">
        <f>ROUND(1093618.59518972,-5)</f>
        <v>1100000</v>
      </c>
      <c r="F8" s="83">
        <f>ROUND(6651524.47805192,-5)</f>
        <v>6700000</v>
      </c>
      <c r="G8" s="82">
        <f>ROUND(10086717.4586051,-5)</f>
        <v>10100000</v>
      </c>
      <c r="H8" s="81">
        <f>ROUND(19432831,-5)</f>
        <v>19400000</v>
      </c>
    </row>
    <row r="9" spans="1:8">
      <c r="A9" s="64" t="s">
        <v>54</v>
      </c>
      <c r="B9" s="18"/>
      <c r="C9" s="54">
        <f t="shared" ref="C9:H9" si="0">C8/C23</f>
        <v>0.2857142857142857</v>
      </c>
      <c r="D9" s="55">
        <f t="shared" si="0"/>
        <v>0.47826086956521741</v>
      </c>
      <c r="E9" s="54">
        <f t="shared" si="0"/>
        <v>0.25</v>
      </c>
      <c r="F9" s="55">
        <f t="shared" si="0"/>
        <v>0.4589041095890411</v>
      </c>
      <c r="G9" s="54">
        <f t="shared" si="0"/>
        <v>0.57386363636363635</v>
      </c>
      <c r="H9" s="53">
        <f t="shared" si="0"/>
        <v>0.47317073170731705</v>
      </c>
    </row>
    <row r="10" spans="1:8">
      <c r="A10" s="52"/>
      <c r="B10" s="18"/>
      <c r="C10" s="17"/>
      <c r="D10" s="51"/>
      <c r="E10" s="17"/>
      <c r="F10" s="51"/>
      <c r="G10" s="17"/>
      <c r="H10" s="66"/>
    </row>
    <row r="11" spans="1:8">
      <c r="A11" s="59" t="s">
        <v>38</v>
      </c>
      <c r="B11" s="58"/>
      <c r="C11" s="17">
        <f>ROUND('COMPARAISON DÉTAILLÉE BRUTE'!C10,-5)</f>
        <v>200000</v>
      </c>
      <c r="D11" s="17">
        <f>ROUND('COMPARAISON DÉTAILLÉE BRUTE'!D10,-5)</f>
        <v>300000</v>
      </c>
      <c r="E11" s="17">
        <f>ROUND('COMPARAISON DÉTAILLÉE BRUTE'!E10,-5)</f>
        <v>2300000</v>
      </c>
      <c r="F11" s="17">
        <f>ROUND('COMPARAISON DÉTAILLÉE BRUTE'!F10,-5)</f>
        <v>5500000</v>
      </c>
      <c r="G11" s="17">
        <f>ROUND('COMPARAISON DÉTAILLÉE BRUTE'!G10,-5)</f>
        <v>2600000</v>
      </c>
      <c r="H11" s="65">
        <f>ROUND(SUM(C11:G11),-5)</f>
        <v>10900000</v>
      </c>
    </row>
    <row r="12" spans="1:8">
      <c r="A12" s="64" t="s">
        <v>51</v>
      </c>
      <c r="B12" s="18"/>
      <c r="C12" s="54">
        <f t="shared" ref="C12:H12" si="1">C11/C23</f>
        <v>9.5238095238095233E-2</v>
      </c>
      <c r="D12" s="55">
        <f t="shared" si="1"/>
        <v>0.13043478260869565</v>
      </c>
      <c r="E12" s="54">
        <f t="shared" si="1"/>
        <v>0.52272727272727271</v>
      </c>
      <c r="F12" s="55">
        <f t="shared" si="1"/>
        <v>0.37671232876712329</v>
      </c>
      <c r="G12" s="54">
        <f t="shared" si="1"/>
        <v>0.14772727272727273</v>
      </c>
      <c r="H12" s="53">
        <f t="shared" si="1"/>
        <v>0.26585365853658538</v>
      </c>
    </row>
    <row r="13" spans="1:8">
      <c r="A13" s="52"/>
      <c r="B13" s="18"/>
      <c r="C13" s="17"/>
      <c r="D13" s="51"/>
      <c r="E13" s="17"/>
      <c r="F13" s="51"/>
      <c r="G13" s="17"/>
      <c r="H13" s="66"/>
    </row>
    <row r="14" spans="1:8">
      <c r="A14" s="59" t="s">
        <v>37</v>
      </c>
      <c r="B14" s="58"/>
      <c r="C14" s="17">
        <f>ROUND('COMPARAISON DÉTAILLÉE BRUTE'!C13,-5)</f>
        <v>800000</v>
      </c>
      <c r="D14" s="51">
        <f>ROUND(937988.396785435,-5)</f>
        <v>900000</v>
      </c>
      <c r="E14" s="17">
        <f>ROUND('COMPARAISON DÉTAILLÉE BRUTE'!E13,-5)</f>
        <v>700000</v>
      </c>
      <c r="F14" s="51">
        <f>ROUND('COMPARAISON DÉTAILLÉE BRUTE'!F13,-5)</f>
        <v>2100000</v>
      </c>
      <c r="G14" s="17">
        <f>ROUND('COMPARAISON DÉTAILLÉE BRUTE'!G13,-5)</f>
        <v>3200000</v>
      </c>
      <c r="H14" s="65">
        <f>ROUND(SUM(C14:G14),-5)</f>
        <v>7700000</v>
      </c>
    </row>
    <row r="15" spans="1:8">
      <c r="A15" s="64" t="s">
        <v>51</v>
      </c>
      <c r="B15" s="18"/>
      <c r="C15" s="54">
        <f t="shared" ref="C15:H15" si="2">C14/C23</f>
        <v>0.38095238095238093</v>
      </c>
      <c r="D15" s="55">
        <f t="shared" si="2"/>
        <v>0.39130434782608697</v>
      </c>
      <c r="E15" s="54">
        <f t="shared" si="2"/>
        <v>0.15909090909090909</v>
      </c>
      <c r="F15" s="55">
        <f t="shared" si="2"/>
        <v>0.14383561643835616</v>
      </c>
      <c r="G15" s="54">
        <f t="shared" si="2"/>
        <v>0.18181818181818182</v>
      </c>
      <c r="H15" s="53">
        <f t="shared" si="2"/>
        <v>0.18780487804878049</v>
      </c>
    </row>
    <row r="16" spans="1:8">
      <c r="A16" s="52"/>
      <c r="B16" s="18"/>
      <c r="C16" s="17"/>
      <c r="D16" s="51"/>
      <c r="E16" s="17"/>
      <c r="F16" s="51"/>
      <c r="G16" s="17"/>
      <c r="H16" s="66"/>
    </row>
    <row r="17" spans="1:9">
      <c r="A17" s="59" t="s">
        <v>21</v>
      </c>
      <c r="B17" s="58"/>
      <c r="C17" s="17">
        <f>ROUND(537039,-4)</f>
        <v>540000</v>
      </c>
      <c r="D17" s="51"/>
      <c r="E17" s="17"/>
      <c r="F17" s="51"/>
      <c r="G17" s="17"/>
      <c r="H17" s="65">
        <f>C17</f>
        <v>540000</v>
      </c>
    </row>
    <row r="18" spans="1:9">
      <c r="A18" s="64" t="s">
        <v>51</v>
      </c>
      <c r="B18" s="18"/>
      <c r="C18" s="79">
        <f>C17/C23</f>
        <v>0.25714285714285712</v>
      </c>
      <c r="D18" s="80"/>
      <c r="E18" s="79"/>
      <c r="F18" s="80"/>
      <c r="G18" s="79"/>
      <c r="H18" s="78">
        <f>H17/H23</f>
        <v>1.3170731707317073E-2</v>
      </c>
    </row>
    <row r="19" spans="1:9">
      <c r="A19" s="52"/>
      <c r="B19" s="18"/>
      <c r="C19" s="17"/>
      <c r="D19" s="51"/>
      <c r="E19" s="17"/>
      <c r="F19" s="51"/>
      <c r="G19" s="17"/>
      <c r="H19" s="66"/>
    </row>
    <row r="20" spans="1:9">
      <c r="A20" s="59" t="s">
        <v>20</v>
      </c>
      <c r="B20" s="58"/>
      <c r="C20" s="17"/>
      <c r="D20" s="51"/>
      <c r="E20" s="17">
        <f>ROUND(146937,-4)</f>
        <v>150000</v>
      </c>
      <c r="F20" s="51">
        <f>ROUND(582819,-5)</f>
        <v>600000</v>
      </c>
      <c r="G20" s="17">
        <f>ROUND(1759155,-5)</f>
        <v>1800000</v>
      </c>
      <c r="H20" s="65">
        <f>ROUND(SUM(E20:G20),-5)</f>
        <v>2600000</v>
      </c>
    </row>
    <row r="21" spans="1:9">
      <c r="A21" s="64" t="s">
        <v>51</v>
      </c>
      <c r="B21" s="18"/>
      <c r="C21" s="77"/>
      <c r="D21" s="76"/>
      <c r="E21" s="54">
        <f>E20/E23</f>
        <v>3.4090909090909088E-2</v>
      </c>
      <c r="F21" s="55">
        <f>F20/F23</f>
        <v>4.1095890410958902E-2</v>
      </c>
      <c r="G21" s="54">
        <f>G20/G23</f>
        <v>0.10227272727272728</v>
      </c>
      <c r="H21" s="53">
        <f>H20/H23</f>
        <v>6.3414634146341464E-2</v>
      </c>
    </row>
    <row r="22" spans="1:9">
      <c r="A22" s="64"/>
      <c r="B22" s="18"/>
      <c r="C22" s="17"/>
      <c r="D22" s="51"/>
      <c r="E22" s="17"/>
      <c r="F22" s="51"/>
      <c r="G22" s="17"/>
      <c r="H22" s="66"/>
    </row>
    <row r="23" spans="1:9" ht="16" thickBot="1">
      <c r="A23" s="75" t="s">
        <v>15</v>
      </c>
      <c r="B23" s="74"/>
      <c r="C23" s="30">
        <f>ROUND('COMPARAISON DÉTAILLÉE BRUTE'!C22,-5)</f>
        <v>2100000</v>
      </c>
      <c r="D23" s="73">
        <f>ROUND('COMPARAISON DÉTAILLÉE BRUTE'!D22,-5)</f>
        <v>2300000</v>
      </c>
      <c r="E23" s="30">
        <f>ROUND('COMPARAISON DÉTAILLÉE BRUTE'!E22,-5)</f>
        <v>4400000</v>
      </c>
      <c r="F23" s="73">
        <f>ROUND('COMPARAISON DÉTAILLÉE BRUTE'!F22,-5)</f>
        <v>14600000</v>
      </c>
      <c r="G23" s="30">
        <f>ROUND('COMPARAISON DÉTAILLÉE BRUTE'!G22,-5)</f>
        <v>17600000</v>
      </c>
      <c r="H23" s="72">
        <f>SUM(C23:G23)</f>
        <v>41000000</v>
      </c>
      <c r="I23" s="5"/>
    </row>
    <row r="24" spans="1:9" ht="9" customHeight="1">
      <c r="C24" s="13"/>
      <c r="D24" s="13"/>
      <c r="E24" s="13"/>
      <c r="F24" s="13"/>
      <c r="G24" s="13"/>
      <c r="H24" s="13"/>
    </row>
    <row r="25" spans="1:9" ht="16" thickBot="1">
      <c r="C25" s="13"/>
      <c r="D25" s="13"/>
      <c r="E25" s="13"/>
      <c r="F25" s="13"/>
      <c r="G25" s="13"/>
      <c r="H25" s="13"/>
    </row>
    <row r="26" spans="1:9">
      <c r="A26" s="71" t="s">
        <v>14</v>
      </c>
      <c r="B26" s="70"/>
      <c r="C26" s="68">
        <f>ROUND('COMPARAISON DÉTAILLÉE BRUTE'!C25,-5)</f>
        <v>3100000</v>
      </c>
      <c r="D26" s="69">
        <f>ROUND('COMPARAISON DÉTAILLÉE BRUTE'!D25,-5)</f>
        <v>2700000</v>
      </c>
      <c r="E26" s="68">
        <f>ROUND('COMPARAISON DÉTAILLÉE BRUTE'!E25,-5)</f>
        <v>3900000</v>
      </c>
      <c r="F26" s="69">
        <f>ROUND('COMPARAISON DÉTAILLÉE BRUTE'!F25,-5)</f>
        <v>5600000</v>
      </c>
      <c r="G26" s="68">
        <f>ROUND('COMPARAISON DÉTAILLÉE BRUTE'!G25,-5)</f>
        <v>5400000</v>
      </c>
      <c r="H26" s="67">
        <f>ROUND('COMPARAISON DÉTAILLÉE BRUTE'!H25,-5)</f>
        <v>20700000</v>
      </c>
    </row>
    <row r="27" spans="1:9">
      <c r="A27" s="52"/>
      <c r="B27" s="18"/>
      <c r="C27" s="17"/>
      <c r="D27" s="51"/>
      <c r="E27" s="17"/>
      <c r="F27" s="51"/>
      <c r="G27" s="17"/>
      <c r="H27" s="66"/>
    </row>
    <row r="28" spans="1:9">
      <c r="A28" s="59" t="s">
        <v>46</v>
      </c>
      <c r="B28" s="58"/>
      <c r="C28" s="17">
        <f>ROUND('COMPARAISON DÉTAILLÉE BRUTE'!C30,-5)</f>
        <v>400000</v>
      </c>
      <c r="D28" s="51">
        <f>ROUND('COMPARAISON DÉTAILLÉE BRUTE'!D30,-5)</f>
        <v>1000000</v>
      </c>
      <c r="E28" s="17">
        <f>ROUND('COMPARAISON DÉTAILLÉE BRUTE'!E30,-5)</f>
        <v>2300000</v>
      </c>
      <c r="F28" s="51">
        <f>ROUND('COMPARAISON DÉTAILLÉE BRUTE'!F30,-5)</f>
        <v>4600000</v>
      </c>
      <c r="G28" s="17">
        <f>ROUND('COMPARAISON DÉTAILLÉE BRUTE'!G30,-5)</f>
        <v>4100000</v>
      </c>
      <c r="H28" s="65">
        <f>ROUND('COMPARAISON DÉTAILLÉE BRUTE'!H30,-5)</f>
        <v>12400000</v>
      </c>
    </row>
    <row r="29" spans="1:9">
      <c r="A29" s="64" t="s">
        <v>51</v>
      </c>
      <c r="B29" s="63"/>
      <c r="C29" s="61">
        <v>0.15</v>
      </c>
      <c r="D29" s="62">
        <v>0.4</v>
      </c>
      <c r="E29" s="61">
        <v>0.6</v>
      </c>
      <c r="F29" s="62">
        <v>0.92452830188679247</v>
      </c>
      <c r="G29" s="61">
        <v>0.51219512195121952</v>
      </c>
      <c r="H29" s="60">
        <v>0.56544502617801051</v>
      </c>
    </row>
    <row r="30" spans="1:9">
      <c r="A30" s="52"/>
      <c r="B30" s="18"/>
      <c r="C30" s="17"/>
      <c r="D30" s="51"/>
      <c r="E30" s="17"/>
      <c r="F30" s="51"/>
      <c r="G30" s="17"/>
      <c r="H30" s="66"/>
    </row>
    <row r="31" spans="1:9">
      <c r="A31" s="59" t="s">
        <v>52</v>
      </c>
      <c r="B31" s="58"/>
      <c r="C31" s="17">
        <f>ROUND('COMPARAISON DÉTAILLÉE BRUTE'!C33,-4)</f>
        <v>0</v>
      </c>
      <c r="D31" s="51">
        <f>ROUND('COMPARAISON DÉTAILLÉE BRUTE'!D33,-4)</f>
        <v>250000</v>
      </c>
      <c r="E31" s="17">
        <f>ROUND('COMPARAISON DÉTAILLÉE BRUTE'!E33,-4)</f>
        <v>170000</v>
      </c>
      <c r="F31" s="51">
        <f>ROUND('COMPARAISON DÉTAILLÉE BRUTE'!F33,-4)</f>
        <v>90000</v>
      </c>
      <c r="G31" s="17">
        <f>ROUND('COMPARAISON DÉTAILLÉE BRUTE'!G33,-4)</f>
        <v>370000</v>
      </c>
      <c r="H31" s="65">
        <f>ROUND('COMPARAISON DÉTAILLÉE BRUTE'!H33,-4)</f>
        <v>880000</v>
      </c>
    </row>
    <row r="32" spans="1:9">
      <c r="A32" s="64" t="s">
        <v>51</v>
      </c>
      <c r="B32" s="63"/>
      <c r="C32" s="61">
        <v>2.6666666666666668E-2</v>
      </c>
      <c r="D32" s="62">
        <v>3.3333333333333333E-2</v>
      </c>
      <c r="E32" s="61">
        <v>5.7142857142857141E-2</v>
      </c>
      <c r="F32" s="62">
        <v>1.8867924528301886E-2</v>
      </c>
      <c r="G32" s="61">
        <v>9.0243902439024387E-2</v>
      </c>
      <c r="H32" s="60">
        <v>4.4502617801047119E-2</v>
      </c>
    </row>
    <row r="33" spans="1:8">
      <c r="A33" s="64"/>
      <c r="B33" s="63"/>
      <c r="C33" s="61"/>
      <c r="D33" s="62"/>
      <c r="E33" s="61"/>
      <c r="F33" s="62"/>
      <c r="G33" s="61"/>
      <c r="H33" s="60"/>
    </row>
    <row r="34" spans="1:8">
      <c r="A34" s="59" t="s">
        <v>53</v>
      </c>
      <c r="B34" s="58"/>
      <c r="C34" s="17">
        <f>ROUND('[4]SUISSE PAR CANTON '!$E$31,-5)</f>
        <v>2600000</v>
      </c>
      <c r="D34" s="51">
        <f>ROUND('[4]SUISSE PAR CANTON '!$F$31,-5)</f>
        <v>1400000</v>
      </c>
      <c r="E34" s="17">
        <f>ROUND('[4]SUISSE PAR CANTON '!$G$31,-5)</f>
        <v>1500000</v>
      </c>
      <c r="F34" s="51">
        <f>ROUND('[4]SUISSE PAR CANTON '!$H$31,-4)</f>
        <v>900000</v>
      </c>
      <c r="G34" s="17">
        <f>ROUND('[4]SUISSE PAR CANTON '!$I$31,-5)</f>
        <v>900000</v>
      </c>
      <c r="H34" s="57">
        <f>ROUND(SUM(C34:G34),-5)</f>
        <v>7300000</v>
      </c>
    </row>
    <row r="35" spans="1:8">
      <c r="A35" s="56" t="s">
        <v>51</v>
      </c>
      <c r="B35" s="18"/>
      <c r="C35" s="54">
        <f t="shared" ref="C35:H35" si="3">C34/C26</f>
        <v>0.83870967741935487</v>
      </c>
      <c r="D35" s="55">
        <f t="shared" si="3"/>
        <v>0.51851851851851849</v>
      </c>
      <c r="E35" s="54">
        <f t="shared" si="3"/>
        <v>0.38461538461538464</v>
      </c>
      <c r="F35" s="55">
        <f t="shared" si="3"/>
        <v>0.16071428571428573</v>
      </c>
      <c r="G35" s="54">
        <f t="shared" si="3"/>
        <v>0.16666666666666666</v>
      </c>
      <c r="H35" s="53">
        <f t="shared" si="3"/>
        <v>0.35265700483091789</v>
      </c>
    </row>
    <row r="36" spans="1:8">
      <c r="A36" s="52"/>
      <c r="B36" s="18"/>
      <c r="C36" s="17"/>
      <c r="D36" s="51"/>
      <c r="E36" s="17"/>
      <c r="F36" s="51"/>
      <c r="G36" s="17"/>
      <c r="H36" s="50"/>
    </row>
    <row r="37" spans="1:8" ht="16" thickBot="1">
      <c r="A37" s="49" t="s">
        <v>37</v>
      </c>
      <c r="B37" s="48"/>
      <c r="C37" s="31"/>
      <c r="D37" s="47"/>
      <c r="E37" s="31"/>
      <c r="F37" s="47">
        <f>'[4]SUISSE PAR CANTON '!$H$38</f>
        <v>0</v>
      </c>
      <c r="G37" s="31">
        <f>'[4]SUISSE PAR CANTON '!$I$38</f>
        <v>0</v>
      </c>
      <c r="H37" s="46"/>
    </row>
  </sheetData>
  <mergeCells count="2">
    <mergeCell ref="A4:H4"/>
    <mergeCell ref="A1:H1"/>
  </mergeCells>
  <phoneticPr fontId="5" type="noConversion"/>
  <printOptions horizontalCentered="1" verticalCentered="1"/>
  <pageMargins left="0.5" right="0.5" top="5.75" bottom="0.5" header="0" footer="0"/>
  <pageSetup paperSize="3" scale="12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1"/>
  <sheetViews>
    <sheetView tabSelected="1" topLeftCell="A3" workbookViewId="0">
      <selection activeCell="A4" sqref="A4"/>
    </sheetView>
  </sheetViews>
  <sheetFormatPr baseColWidth="10" defaultRowHeight="15" x14ac:dyDescent="0"/>
  <cols>
    <col min="1" max="1" width="18.5" customWidth="1"/>
    <col min="2" max="2" width="18.5" bestFit="1" customWidth="1"/>
    <col min="3" max="3" width="21.83203125" customWidth="1"/>
    <col min="4" max="4" width="12.5" customWidth="1"/>
    <col min="5" max="5" width="18.6640625" customWidth="1"/>
    <col min="6" max="6" width="22.6640625" customWidth="1"/>
  </cols>
  <sheetData>
    <row r="2" spans="1:6" ht="18">
      <c r="A2" s="177" t="s">
        <v>123</v>
      </c>
      <c r="B2" s="177"/>
      <c r="C2" s="177"/>
      <c r="D2" s="177"/>
      <c r="E2" s="177"/>
      <c r="F2" s="177"/>
    </row>
    <row r="3" spans="1:6" ht="39" customHeight="1">
      <c r="A3" s="185" t="s">
        <v>125</v>
      </c>
      <c r="B3" s="185"/>
      <c r="C3" s="185"/>
      <c r="D3" s="185"/>
      <c r="E3" s="185"/>
      <c r="F3" s="185"/>
    </row>
    <row r="4" spans="1:6" ht="60" customHeight="1">
      <c r="A4" s="162" t="s">
        <v>158</v>
      </c>
    </row>
    <row r="5" spans="1:6" ht="204" customHeight="1">
      <c r="C5" s="103" t="s">
        <v>126</v>
      </c>
      <c r="D5" s="103" t="s">
        <v>127</v>
      </c>
      <c r="E5" s="103" t="s">
        <v>104</v>
      </c>
    </row>
    <row r="6" spans="1:6" ht="18" customHeight="1">
      <c r="A6" s="12" t="s">
        <v>38</v>
      </c>
      <c r="C6" s="103"/>
      <c r="D6" s="103"/>
      <c r="E6" s="103"/>
    </row>
    <row r="7" spans="1:6">
      <c r="A7" t="s">
        <v>110</v>
      </c>
      <c r="C7">
        <v>260</v>
      </c>
      <c r="D7" s="91">
        <v>0.99</v>
      </c>
      <c r="E7">
        <f>[5]Belgique!$F$238</f>
        <v>78</v>
      </c>
    </row>
    <row r="8" spans="1:6">
      <c r="A8" t="s">
        <v>109</v>
      </c>
      <c r="C8">
        <v>233</v>
      </c>
      <c r="D8" s="91">
        <f>'[5]Belgique Non Print Version'!$G$519</f>
        <v>0.89020912510224881</v>
      </c>
      <c r="E8">
        <f>'[5]Belgique Non Print Version'!$G$360</f>
        <v>87</v>
      </c>
    </row>
    <row r="9" spans="1:6" ht="16" thickBot="1">
      <c r="A9" s="22" t="s">
        <v>108</v>
      </c>
      <c r="B9" s="22"/>
      <c r="C9" s="22">
        <v>19</v>
      </c>
      <c r="D9" s="90">
        <v>1</v>
      </c>
      <c r="E9" s="22"/>
    </row>
    <row r="10" spans="1:6" ht="16" thickTop="1">
      <c r="C10">
        <f>SUM(C7:C9)</f>
        <v>512</v>
      </c>
      <c r="D10" s="91">
        <f>(SUM(D7:D9))/3</f>
        <v>0.96006970836741623</v>
      </c>
    </row>
    <row r="12" spans="1:6">
      <c r="A12" s="12" t="s">
        <v>46</v>
      </c>
    </row>
    <row r="13" spans="1:6">
      <c r="A13" t="s">
        <v>107</v>
      </c>
      <c r="C13">
        <f>'[1]Nordrhein-Westfalen'!$B$366</f>
        <v>276</v>
      </c>
    </row>
    <row r="14" spans="1:6">
      <c r="A14" t="s">
        <v>43</v>
      </c>
      <c r="C14">
        <f>[1]Saarland!$B$80</f>
        <v>52</v>
      </c>
    </row>
    <row r="15" spans="1:6">
      <c r="A15" t="s">
        <v>45</v>
      </c>
      <c r="C15">
        <f>'[1]Rheinland Pfalz'!$B$273</f>
        <v>0</v>
      </c>
    </row>
    <row r="16" spans="1:6">
      <c r="A16" t="s">
        <v>42</v>
      </c>
      <c r="C16">
        <f>'[1]Baden-Württemberg'!$D$349</f>
        <v>295</v>
      </c>
    </row>
    <row r="17" spans="1:5">
      <c r="A17" t="s">
        <v>41</v>
      </c>
      <c r="C17">
        <f>[1]Hessen!$B$366+[1]Hessen!$D$261</f>
        <v>203</v>
      </c>
    </row>
    <row r="18" spans="1:5" ht="16" thickBot="1">
      <c r="A18" s="22" t="s">
        <v>40</v>
      </c>
      <c r="B18" s="22"/>
      <c r="C18" s="22">
        <f>[1]Bayern!$B$21</f>
        <v>6</v>
      </c>
      <c r="D18" s="22"/>
      <c r="E18" s="22"/>
    </row>
    <row r="19" spans="1:5" ht="16" thickTop="1">
      <c r="C19">
        <f>SUM(C13:C18)</f>
        <v>832</v>
      </c>
    </row>
    <row r="20" spans="1:5">
      <c r="D20" s="91">
        <v>1</v>
      </c>
    </row>
    <row r="21" spans="1:5">
      <c r="A21" s="12" t="s">
        <v>37</v>
      </c>
    </row>
    <row r="23" spans="1:5">
      <c r="A23" t="s">
        <v>106</v>
      </c>
      <c r="B23" t="s">
        <v>105</v>
      </c>
      <c r="C23" s="32"/>
      <c r="D23" s="32"/>
      <c r="E23" s="32"/>
    </row>
    <row r="24" spans="1:5" ht="29" customHeight="1">
      <c r="A24" t="s">
        <v>36</v>
      </c>
      <c r="B24" t="s">
        <v>103</v>
      </c>
      <c r="C24" s="96">
        <v>120</v>
      </c>
      <c r="D24" s="95">
        <f>[6]Aisne!F130</f>
        <v>0.66194394902573139</v>
      </c>
      <c r="E24">
        <f>[6]Aisne!F127</f>
        <v>753</v>
      </c>
    </row>
    <row r="25" spans="1:5">
      <c r="A25" t="s">
        <v>35</v>
      </c>
      <c r="B25" t="s">
        <v>97</v>
      </c>
      <c r="C25" s="96">
        <f>[6]Ardennes!A67</f>
        <v>60</v>
      </c>
      <c r="D25" s="95">
        <f>[6]Ardennes!H70</f>
        <v>0.72326118264994921</v>
      </c>
      <c r="E25">
        <f>[6]Ardennes!D67</f>
        <v>844</v>
      </c>
    </row>
    <row r="26" spans="1:5">
      <c r="A26" t="s">
        <v>34</v>
      </c>
      <c r="B26" t="s">
        <v>97</v>
      </c>
      <c r="C26" s="96">
        <f>[6]Aube!A47</f>
        <v>40</v>
      </c>
      <c r="D26" s="95">
        <f>[6]Aube!H49</f>
        <v>0.64094389016742614</v>
      </c>
      <c r="E26">
        <f>[6]Aube!D47</f>
        <v>983</v>
      </c>
    </row>
    <row r="27" spans="1:5">
      <c r="A27" t="s">
        <v>33</v>
      </c>
      <c r="B27" t="s">
        <v>101</v>
      </c>
      <c r="C27" s="96">
        <f>'[6]Bas-Rhin'!A208</f>
        <v>200</v>
      </c>
      <c r="D27" s="95">
        <f>'[6]Bas-Rhin'!D211</f>
        <v>0.81852489265652961</v>
      </c>
      <c r="E27">
        <f>'[6]Bas-Rhin'!D208</f>
        <v>863</v>
      </c>
    </row>
    <row r="28" spans="1:5">
      <c r="A28" t="s">
        <v>102</v>
      </c>
      <c r="B28" t="s">
        <v>101</v>
      </c>
      <c r="C28" s="96">
        <f>'[6]Haut-Rhin'!A141+'[6]Haut-Rhin'!A141</f>
        <v>270</v>
      </c>
      <c r="D28" s="95">
        <f>'[6]Haut-Rhin'!G144</f>
        <v>0.77842759628798774</v>
      </c>
      <c r="E28">
        <f>'[6]Haut-Rhin'!D141</f>
        <v>980</v>
      </c>
    </row>
    <row r="29" spans="1:5">
      <c r="A29" t="s">
        <v>100</v>
      </c>
      <c r="B29" t="s">
        <v>99</v>
      </c>
      <c r="C29" s="96">
        <f>'[6]Haute-Saône'!A56</f>
        <v>49</v>
      </c>
      <c r="D29" s="95">
        <f>'[6]Haute-Saône'!G60</f>
        <v>0.53698222276391616</v>
      </c>
      <c r="E29">
        <f>'[6]Haute-Saône'!D56</f>
        <v>802</v>
      </c>
    </row>
    <row r="30" spans="1:5">
      <c r="A30" t="s">
        <v>98</v>
      </c>
      <c r="B30" t="s">
        <v>97</v>
      </c>
      <c r="C30" s="96">
        <f>'[6]Haute-Marne'!A37</f>
        <v>30</v>
      </c>
      <c r="D30" s="95">
        <f>'[6]Haute-Marne'!G40</f>
        <v>0.5958342099726488</v>
      </c>
      <c r="E30">
        <f>'[6]Haute-Marne'!D37</f>
        <v>880</v>
      </c>
    </row>
    <row r="31" spans="1:5">
      <c r="A31" t="s">
        <v>29</v>
      </c>
      <c r="B31" t="s">
        <v>97</v>
      </c>
      <c r="C31" s="96">
        <f>[6]Marne!A86</f>
        <v>80</v>
      </c>
      <c r="D31" s="95">
        <f>[6]Marne!G89</f>
        <v>0.77101300539679729</v>
      </c>
      <c r="E31">
        <f>[6]Marne!D86</f>
        <v>843</v>
      </c>
    </row>
    <row r="32" spans="1:5">
      <c r="A32" t="s">
        <v>27</v>
      </c>
      <c r="B32" t="s">
        <v>92</v>
      </c>
      <c r="C32" s="96">
        <f>[6]Meuse!A66</f>
        <v>60</v>
      </c>
      <c r="D32" s="95">
        <f>[6]Meuse!G69</f>
        <v>0.63649489745930088</v>
      </c>
      <c r="E32">
        <f>[6]Meuse!D66</f>
        <v>533</v>
      </c>
    </row>
    <row r="33" spans="1:5">
      <c r="A33" t="s">
        <v>96</v>
      </c>
      <c r="B33" t="s">
        <v>92</v>
      </c>
      <c r="C33" s="96">
        <f>'[6]Meurthe-et-Moselle'!A127</f>
        <v>120</v>
      </c>
      <c r="D33" s="95">
        <f>'[6]Meurthe-et-Moselle'!F131</f>
        <v>0.82613245836596483</v>
      </c>
      <c r="E33">
        <f>'[6]Meurthe-et-Moselle'!D127</f>
        <v>946</v>
      </c>
    </row>
    <row r="34" spans="1:5">
      <c r="A34" t="s">
        <v>26</v>
      </c>
      <c r="B34" t="s">
        <v>92</v>
      </c>
      <c r="C34" s="96">
        <f>[6]Moselle!A207</f>
        <v>200</v>
      </c>
      <c r="D34" s="95">
        <f>[6]Moselle!F210</f>
        <v>0.93021829209009466</v>
      </c>
      <c r="E34">
        <f>[6]Moselle!F207</f>
        <v>828</v>
      </c>
    </row>
    <row r="35" spans="1:5">
      <c r="A35" t="s">
        <v>25</v>
      </c>
      <c r="B35" t="s">
        <v>95</v>
      </c>
      <c r="C35" s="96">
        <f>[6]Nord!A368</f>
        <v>361</v>
      </c>
      <c r="D35" s="95">
        <f>[6]Nord!F375</f>
        <v>0.93467053714534087</v>
      </c>
      <c r="E35">
        <f>[6]Nord!D368</f>
        <v>992</v>
      </c>
    </row>
    <row r="36" spans="1:5">
      <c r="A36" t="s">
        <v>94</v>
      </c>
      <c r="B36" t="s">
        <v>93</v>
      </c>
      <c r="C36" s="96">
        <f>'[6]Seine-et-Marne'!A210</f>
        <v>202</v>
      </c>
      <c r="D36" s="95">
        <f>'[6]Seine-et-Marne'!E216</f>
        <v>0.79419110626365708</v>
      </c>
      <c r="E36">
        <f>'[6]Seine-et-Marne'!D210</f>
        <v>983</v>
      </c>
    </row>
    <row r="37" spans="1:5" ht="16" thickBot="1">
      <c r="A37" s="22" t="s">
        <v>23</v>
      </c>
      <c r="B37" s="22" t="s">
        <v>92</v>
      </c>
      <c r="C37" s="98">
        <f>[6]Vosges!A96</f>
        <v>90</v>
      </c>
      <c r="D37" s="97">
        <f>[6]Vosges!G99</f>
        <v>0.74439329618354388</v>
      </c>
      <c r="E37" s="22">
        <f>[6]Vosges!D96</f>
        <v>856</v>
      </c>
    </row>
    <row r="38" spans="1:5" ht="33" customHeight="1" thickTop="1">
      <c r="A38" s="92" t="s">
        <v>47</v>
      </c>
      <c r="B38" s="92"/>
      <c r="C38" s="104">
        <f>SUM(C24:C37)</f>
        <v>1882</v>
      </c>
    </row>
    <row r="39" spans="1:5">
      <c r="A39" s="92" t="s">
        <v>63</v>
      </c>
      <c r="B39" s="92"/>
      <c r="D39" s="95">
        <f>SUM(D24:D37)/14</f>
        <v>0.74235939545920626</v>
      </c>
      <c r="E39" s="94">
        <f>SUM(E24:E37)/14</f>
        <v>863.28571428571433</v>
      </c>
    </row>
    <row r="41" spans="1:5">
      <c r="A41" s="12" t="s">
        <v>20</v>
      </c>
    </row>
    <row r="43" spans="1:5">
      <c r="A43" t="s">
        <v>19</v>
      </c>
      <c r="C43">
        <f>'[2] Netherlands &amp; Flemish Language'!$B$57</f>
        <v>33</v>
      </c>
    </row>
    <row r="44" spans="1:5">
      <c r="A44" t="s">
        <v>18</v>
      </c>
      <c r="C44">
        <f>'[2] Netherlands &amp; Flemish Language'!$B$101</f>
        <v>38</v>
      </c>
    </row>
    <row r="45" spans="1:5" ht="16" thickBot="1">
      <c r="A45" s="22" t="s">
        <v>17</v>
      </c>
      <c r="B45" s="22"/>
      <c r="C45" s="22">
        <f>'[2] Netherlands &amp; Flemish Language'!$B$110</f>
        <v>2</v>
      </c>
      <c r="D45" s="22"/>
      <c r="E45" s="22"/>
    </row>
    <row r="46" spans="1:5" ht="16" thickTop="1">
      <c r="C46">
        <f>SUM(C43:C45)</f>
        <v>73</v>
      </c>
      <c r="D46" s="91">
        <v>1</v>
      </c>
    </row>
    <row r="47" spans="1:5" ht="27" customHeight="1">
      <c r="A47" s="164" t="s">
        <v>91</v>
      </c>
      <c r="B47" s="12"/>
      <c r="C47" s="165">
        <f>C10+C19+C38+C46</f>
        <v>3299</v>
      </c>
    </row>
    <row r="49" spans="1:6">
      <c r="A49" s="12" t="s">
        <v>53</v>
      </c>
    </row>
    <row r="51" spans="1:6">
      <c r="A51" t="s">
        <v>90</v>
      </c>
      <c r="C51">
        <v>34</v>
      </c>
      <c r="D51" s="91">
        <f>'[4]SUISSE DÉTAILÉE'!$C$40</f>
        <v>0.63349865986400422</v>
      </c>
      <c r="E51" s="13">
        <f>'[4]SUISSE DÉTAILÉE'!$F$38</f>
        <v>1645</v>
      </c>
    </row>
    <row r="52" spans="1:6">
      <c r="A52" t="s">
        <v>89</v>
      </c>
      <c r="C52">
        <v>19</v>
      </c>
      <c r="D52" s="91">
        <f>'[4]SUISSE DÉTAILÉE'!$C$409</f>
        <v>0.42945507113373388</v>
      </c>
      <c r="E52" s="13">
        <f>'[4]SUISSE DÉTAILÉE'!$H$407</f>
        <v>4825</v>
      </c>
    </row>
    <row r="53" spans="1:6">
      <c r="A53" t="s">
        <v>88</v>
      </c>
      <c r="C53">
        <v>31</v>
      </c>
      <c r="D53" s="91">
        <f>'[4]SUISSE DÉTAILÉE'!$C$329</f>
        <v>0.76025876648706958</v>
      </c>
      <c r="E53" s="13">
        <f>'[4]SUISSE DÉTAILÉE'!$H$327</f>
        <v>693</v>
      </c>
    </row>
    <row r="54" spans="1:6">
      <c r="A54" t="s">
        <v>87</v>
      </c>
      <c r="C54">
        <v>18</v>
      </c>
      <c r="D54" s="93">
        <f>'[4]SUISSE DÉTAILÉE'!$C$132</f>
        <v>0.98372053586569441</v>
      </c>
      <c r="E54" s="13">
        <f>'[4]SUISSE DÉTAILÉE'!$H$130</f>
        <v>142</v>
      </c>
    </row>
    <row r="55" spans="1:6">
      <c r="A55" t="s">
        <v>86</v>
      </c>
      <c r="C55">
        <f>6</f>
        <v>6</v>
      </c>
      <c r="D55" s="91">
        <v>1</v>
      </c>
      <c r="E55" s="13">
        <f>'[4]SUISSE DÉTAILÉE'!$G$229</f>
        <v>2108</v>
      </c>
    </row>
    <row r="56" spans="1:6">
      <c r="A56" t="s">
        <v>85</v>
      </c>
      <c r="C56">
        <v>7</v>
      </c>
      <c r="D56" s="91">
        <v>1</v>
      </c>
      <c r="E56" s="13">
        <f>'[4]SUISSE DÉTAILÉE'!$C$249</f>
        <v>2092</v>
      </c>
      <c r="F56" t="s">
        <v>64</v>
      </c>
    </row>
    <row r="57" spans="1:6">
      <c r="A57" t="s">
        <v>84</v>
      </c>
      <c r="C57">
        <v>8</v>
      </c>
      <c r="D57" s="91">
        <f>'[4]SUISSE DÉTAILÉE'!$C$292</f>
        <v>0.79349325845416474</v>
      </c>
      <c r="E57" s="13">
        <f>'[4]SUISSE DÉTAILÉE'!$H$290</f>
        <v>1263</v>
      </c>
    </row>
    <row r="58" spans="1:6">
      <c r="A58" t="s">
        <v>83</v>
      </c>
      <c r="C58">
        <v>3</v>
      </c>
      <c r="D58" s="91">
        <v>1</v>
      </c>
      <c r="E58" s="13">
        <f>'[4]SUISSE DÉTAILÉE'!$C$355</f>
        <v>9938</v>
      </c>
      <c r="F58" t="s">
        <v>64</v>
      </c>
    </row>
    <row r="59" spans="1:6">
      <c r="A59" t="s">
        <v>82</v>
      </c>
      <c r="C59">
        <v>11</v>
      </c>
      <c r="D59" s="91">
        <f>'[4]SUISSE DÉTAILÉE'!$C$56</f>
        <v>0.99061718098415341</v>
      </c>
      <c r="E59" s="13">
        <f>'[4]SUISSE DÉTAILÉE'!$F$54</f>
        <v>1969</v>
      </c>
    </row>
    <row r="60" spans="1:6">
      <c r="A60" t="s">
        <v>81</v>
      </c>
      <c r="C60">
        <v>7</v>
      </c>
      <c r="D60" s="91">
        <v>1</v>
      </c>
      <c r="E60" s="13">
        <f>'[4]SUISSE DÉTAILÉE'!$I$386</f>
        <v>16502</v>
      </c>
      <c r="F60" t="s">
        <v>64</v>
      </c>
    </row>
    <row r="61" spans="1:6">
      <c r="A61" t="s">
        <v>80</v>
      </c>
      <c r="C61">
        <v>14</v>
      </c>
      <c r="D61" s="91">
        <f>'[4]SUISSE DÉTAILÉE'!$C$218</f>
        <v>0.43117722704191647</v>
      </c>
      <c r="E61" s="13">
        <f>'[4]SUISSE DÉTAILÉE'!$H$215</f>
        <v>1031</v>
      </c>
    </row>
    <row r="62" spans="1:6">
      <c r="A62" t="s">
        <v>79</v>
      </c>
      <c r="C62">
        <v>2</v>
      </c>
      <c r="D62" s="91">
        <f>'[4]SUISSE DÉTAILÉE'!$C$416</f>
        <v>0.94707609871708998</v>
      </c>
      <c r="E62" s="13">
        <f>'[4]SUISSE DÉTAILÉE'!$C$414</f>
        <v>20602</v>
      </c>
    </row>
    <row r="63" spans="1:6">
      <c r="A63" t="s">
        <v>78</v>
      </c>
      <c r="C63">
        <v>11</v>
      </c>
      <c r="D63" s="91">
        <f>'[4]SUISSE DÉTAILÉE'!$C$432</f>
        <v>0.5278660298111767</v>
      </c>
      <c r="E63" s="13">
        <f>'[4]SUISSE DÉTAILÉE'!$C$430</f>
        <v>4857</v>
      </c>
    </row>
    <row r="64" spans="1:6">
      <c r="A64" t="s">
        <v>77</v>
      </c>
      <c r="C64">
        <v>5</v>
      </c>
      <c r="D64" s="91">
        <f>'[4]SUISSE DÉTAILÉE'!$C$239</f>
        <v>0.73651457606241022</v>
      </c>
      <c r="E64" s="13">
        <f>'[4]SUISSE DÉTAILÉE'!$C$237</f>
        <v>3172</v>
      </c>
    </row>
    <row r="65" spans="1:6">
      <c r="A65" t="s">
        <v>76</v>
      </c>
      <c r="C65">
        <v>7</v>
      </c>
      <c r="D65" s="91">
        <f>'[4]SUISSE DÉTAILÉE'!$C$443</f>
        <v>0.66568733859800144</v>
      </c>
      <c r="E65" s="13">
        <f>'[4]SUISSE DÉTAILÉE'!$C$441</f>
        <v>2106</v>
      </c>
    </row>
    <row r="66" spans="1:6">
      <c r="A66" t="s">
        <v>75</v>
      </c>
      <c r="C66">
        <v>6</v>
      </c>
      <c r="D66" s="93">
        <v>1</v>
      </c>
      <c r="E66" s="13">
        <f>'[4]SUISSE DÉTAILÉE'!$C$453</f>
        <v>1134</v>
      </c>
      <c r="F66" t="s">
        <v>64</v>
      </c>
    </row>
    <row r="67" spans="1:6">
      <c r="A67" t="s">
        <v>74</v>
      </c>
      <c r="C67">
        <v>26</v>
      </c>
      <c r="D67" s="91">
        <f>'[4]SUISSE DÉTAILÉE'!$C$198</f>
        <v>0.53274718724387149</v>
      </c>
      <c r="E67" s="13">
        <f>'[4]SUISSE DÉTAILÉE'!$C$196</f>
        <v>1544</v>
      </c>
    </row>
    <row r="68" spans="1:6">
      <c r="A68" t="s">
        <v>73</v>
      </c>
      <c r="C68">
        <v>11</v>
      </c>
      <c r="D68" s="93">
        <f>100%</f>
        <v>1</v>
      </c>
      <c r="E68" s="13">
        <f>'[4]SUISSE DÉTAILÉE'!$C$350</f>
        <v>4703</v>
      </c>
      <c r="F68" t="s">
        <v>64</v>
      </c>
    </row>
    <row r="69" spans="1:6">
      <c r="A69" t="s">
        <v>72</v>
      </c>
      <c r="C69">
        <v>18</v>
      </c>
      <c r="D69" s="93">
        <f>'[4]SUISSE DÉTAILÉE'!$C$475</f>
        <v>0.27131055769056195</v>
      </c>
      <c r="E69" s="13">
        <f>'[4]SUISSE DÉTAILÉE'!$C$473</f>
        <v>434</v>
      </c>
    </row>
    <row r="70" spans="1:6">
      <c r="A70" t="s">
        <v>71</v>
      </c>
      <c r="C70">
        <v>8</v>
      </c>
      <c r="D70" s="91">
        <f>'[4]SUISSE DÉTAILÉE'!$C$149</f>
        <v>0.36206260194544654</v>
      </c>
      <c r="E70" s="13">
        <f>'[4]SUISSE DÉTAILÉE'!$C$147</f>
        <v>3227</v>
      </c>
    </row>
    <row r="71" spans="1:6">
      <c r="A71" t="s">
        <v>70</v>
      </c>
      <c r="C71">
        <v>12</v>
      </c>
      <c r="D71" s="91">
        <f>'[4]SUISSE DÉTAILÉE'!$C$166</f>
        <v>0.37663640437700147</v>
      </c>
      <c r="E71" s="13">
        <f>'[4]SUISSE DÉTAILÉE'!$C$164</f>
        <v>754</v>
      </c>
    </row>
    <row r="72" spans="1:6">
      <c r="A72" t="s">
        <v>69</v>
      </c>
      <c r="C72">
        <v>29</v>
      </c>
      <c r="D72" s="91">
        <f>'[4]SUISSE DÉTAILÉE'!$C$109</f>
        <v>0.34656171272557401</v>
      </c>
      <c r="E72" s="13">
        <f>'[4]SUISSE DÉTAILÉE'!$C$107</f>
        <v>877</v>
      </c>
    </row>
    <row r="73" spans="1:6">
      <c r="A73" t="s">
        <v>68</v>
      </c>
      <c r="C73">
        <v>14</v>
      </c>
      <c r="D73" s="91">
        <f>'[4]SUISSE DÉTAILÉE'!$C$75</f>
        <v>0.38113758666590963</v>
      </c>
      <c r="E73" s="13">
        <f>'[4]SUISSE DÉTAILÉE'!$C$73</f>
        <v>212</v>
      </c>
    </row>
    <row r="74" spans="1:6">
      <c r="A74" t="s">
        <v>67</v>
      </c>
      <c r="C74">
        <v>22</v>
      </c>
      <c r="D74" s="91">
        <f>'[4]SUISSE DÉTAILÉE'!$C$279</f>
        <v>0.2900053700420942</v>
      </c>
      <c r="E74" s="13">
        <f>'[4]SUISSE DÉTAILÉE'!$D$277+'[4]SUISSE DÉTAILÉE'!$C$277</f>
        <v>1243</v>
      </c>
    </row>
    <row r="75" spans="1:6">
      <c r="A75" t="s">
        <v>66</v>
      </c>
      <c r="C75">
        <v>12</v>
      </c>
      <c r="D75" s="91">
        <f>'[4]SUISSE DÉTAILÉE'!$C$371</f>
        <v>0.77670412460584515</v>
      </c>
      <c r="E75" s="13">
        <f>'[4]SUISSE DÉTAILÉE'!$C$369</f>
        <v>816</v>
      </c>
    </row>
    <row r="76" spans="1:6" ht="16" thickBot="1">
      <c r="A76" s="22" t="s">
        <v>65</v>
      </c>
      <c r="B76" s="22"/>
      <c r="C76" s="22">
        <v>3</v>
      </c>
      <c r="D76" s="90">
        <f>100%</f>
        <v>1</v>
      </c>
      <c r="E76" s="21">
        <f>'[4]SUISSE DÉTAILÉE'!$C$335</f>
        <v>10028</v>
      </c>
      <c r="F76" t="s">
        <v>64</v>
      </c>
    </row>
    <row r="77" spans="1:6" ht="16" thickTop="1">
      <c r="A77" s="92" t="s">
        <v>47</v>
      </c>
      <c r="C77">
        <f>SUM(C51:C76)</f>
        <v>344</v>
      </c>
      <c r="E77" s="163">
        <f>SUM(E51:E76)/26</f>
        <v>3766.0384615384614</v>
      </c>
    </row>
    <row r="78" spans="1:6">
      <c r="A78" s="92" t="s">
        <v>63</v>
      </c>
      <c r="D78" s="91">
        <f>(SUM(D51:D76))/26</f>
        <v>0.70140501108906617</v>
      </c>
    </row>
    <row r="80" spans="1:6">
      <c r="A80" s="12" t="s">
        <v>46</v>
      </c>
    </row>
    <row r="81" spans="1:5">
      <c r="A81" t="s">
        <v>62</v>
      </c>
      <c r="C81">
        <v>46</v>
      </c>
      <c r="D81" s="91">
        <v>1</v>
      </c>
      <c r="E81">
        <f>[4]ALLEMAGNE!$I$44</f>
        <v>52585</v>
      </c>
    </row>
    <row r="82" spans="1:5" ht="16" thickBot="1">
      <c r="A82" s="22" t="s">
        <v>61</v>
      </c>
      <c r="B82" s="22"/>
      <c r="C82" s="22">
        <v>22</v>
      </c>
      <c r="D82" s="90">
        <v>1</v>
      </c>
      <c r="E82" s="22">
        <f>[4]ALLEMAGNE!$G$75</f>
        <v>41551</v>
      </c>
    </row>
    <row r="83" spans="1:5" ht="16" thickTop="1">
      <c r="C83">
        <f>SUM(C81:C82)</f>
        <v>68</v>
      </c>
    </row>
    <row r="85" spans="1:5">
      <c r="A85" s="12" t="s">
        <v>52</v>
      </c>
      <c r="C85">
        <f>[4]AUTRICHE!$B$26</f>
        <v>11</v>
      </c>
    </row>
    <row r="87" spans="1:5">
      <c r="A87" s="12" t="s">
        <v>60</v>
      </c>
      <c r="C87">
        <f>[4]ITALIE!$B$26</f>
        <v>10</v>
      </c>
    </row>
    <row r="89" spans="1:5" ht="20">
      <c r="A89" s="164" t="s">
        <v>59</v>
      </c>
      <c r="B89" s="164"/>
      <c r="C89" s="164">
        <f>C77+C83+C85+C87</f>
        <v>433</v>
      </c>
    </row>
    <row r="91" spans="1:5" ht="20">
      <c r="A91" s="164" t="s">
        <v>58</v>
      </c>
      <c r="B91" s="164"/>
      <c r="C91" s="165">
        <f>C47+C89</f>
        <v>3732</v>
      </c>
    </row>
  </sheetData>
  <mergeCells count="2">
    <mergeCell ref="A2:F2"/>
    <mergeCell ref="A3:F3"/>
  </mergeCells>
  <phoneticPr fontId="5" type="noConversion"/>
  <printOptions horizontalCentered="1" verticalCentered="1"/>
  <pageMargins left="0" right="0" top="0.25" bottom="0" header="0" footer="0"/>
  <pageSetup paperSize="3" scale="7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sqref="A1:H23"/>
    </sheetView>
  </sheetViews>
  <sheetFormatPr baseColWidth="10" defaultRowHeight="15" x14ac:dyDescent="0"/>
  <cols>
    <col min="1" max="1" width="37.5" customWidth="1"/>
    <col min="2" max="6" width="11.33203125" customWidth="1"/>
    <col min="7" max="7" width="12.83203125" customWidth="1"/>
    <col min="8" max="8" width="9.83203125" customWidth="1"/>
  </cols>
  <sheetData>
    <row r="1" spans="1:8" ht="18">
      <c r="A1" s="177" t="s">
        <v>123</v>
      </c>
      <c r="B1" s="177"/>
      <c r="C1" s="177"/>
      <c r="D1" s="177"/>
      <c r="E1" s="177"/>
      <c r="F1" s="177"/>
      <c r="G1" s="177"/>
      <c r="H1" s="177"/>
    </row>
    <row r="2" spans="1:8" ht="32" customHeight="1">
      <c r="A2" s="186" t="s">
        <v>124</v>
      </c>
      <c r="B2" s="186"/>
      <c r="C2" s="186"/>
      <c r="D2" s="186"/>
      <c r="E2" s="186"/>
      <c r="F2" s="186"/>
      <c r="G2" s="186"/>
      <c r="H2" s="186"/>
    </row>
    <row r="3" spans="1:8" ht="32" customHeight="1">
      <c r="A3" s="157"/>
      <c r="B3" s="157"/>
      <c r="C3" s="157"/>
      <c r="D3" s="157"/>
      <c r="E3" s="157"/>
      <c r="F3" s="157"/>
      <c r="G3" s="157"/>
      <c r="H3" s="157"/>
    </row>
    <row r="4" spans="1:8" ht="18">
      <c r="A4" s="162" t="s">
        <v>159</v>
      </c>
      <c r="H4" s="32"/>
    </row>
    <row r="5" spans="1:8">
      <c r="A5" s="161"/>
      <c r="H5" s="32"/>
    </row>
    <row r="6" spans="1:8" ht="18">
      <c r="A6" s="102" t="s">
        <v>153</v>
      </c>
      <c r="B6" s="113" t="s">
        <v>118</v>
      </c>
      <c r="C6" s="114" t="s">
        <v>3</v>
      </c>
      <c r="D6" s="114" t="s">
        <v>117</v>
      </c>
      <c r="E6" s="115" t="s">
        <v>1</v>
      </c>
      <c r="F6" s="115" t="s">
        <v>0</v>
      </c>
      <c r="G6" s="156" t="s">
        <v>47</v>
      </c>
      <c r="H6" s="156" t="s">
        <v>116</v>
      </c>
    </row>
    <row r="7" spans="1:8">
      <c r="H7" s="32"/>
    </row>
    <row r="8" spans="1:8">
      <c r="A8" t="s">
        <v>115</v>
      </c>
      <c r="B8" s="13">
        <f>ROUND('COMPARAISON DÉTAILLÉE BRUTE'!C7,-4)</f>
        <v>570000</v>
      </c>
      <c r="C8" s="13">
        <f>ROUND('COMPARAISON DÉTAILLÉE BRUTE'!D7,-4)</f>
        <v>1050000</v>
      </c>
      <c r="D8" s="13">
        <f>ROUND('COMPARAISON DÉTAILLÉE BRUTE'!E7,-4)</f>
        <v>1250000</v>
      </c>
      <c r="E8" s="13">
        <f>ROUND('COMPARAISON DÉTAILLÉE BRUTE'!F7,-4)</f>
        <v>6480000</v>
      </c>
      <c r="F8" s="13">
        <f>ROUND('COMPARAISON DÉTAILLÉE BRUTE'!G7,-4)</f>
        <v>10090000</v>
      </c>
      <c r="G8" s="5">
        <f>SUM(B8:F8)</f>
        <v>19440000</v>
      </c>
      <c r="H8" s="166">
        <f>G8/G13</f>
        <v>0.47391516333495853</v>
      </c>
    </row>
    <row r="9" spans="1:8">
      <c r="A9" t="s">
        <v>114</v>
      </c>
      <c r="B9" s="13">
        <f>ROUND('[2]Belgique Non Print Version'!$J$266+'[2]Belgique Non Print Version'!$J$544+'COMPARAISON DÉTAILLÉE BRUTE'!C13,-4)</f>
        <v>950000</v>
      </c>
      <c r="C9" s="13">
        <f>ROUND('[2]Belgique Non Print Version'!$K$266+'[2]Belgique Non Print Version'!$K$544+'COMPARAISON DÉTAILLÉE BRUTE'!D13,-4)</f>
        <v>1370000</v>
      </c>
      <c r="D9" s="13">
        <f>ROUND('[2]Belgique Non Print Version'!$L$266+'[2]Belgique Non Print Version'!$L$544+'COMPARAISON DÉTAILLÉE BRUTE'!E13,-4)</f>
        <v>2640000</v>
      </c>
      <c r="E9" s="13">
        <f>ROUND('[2]Belgique Non Print Version'!$M$266+'[2]Belgique Non Print Version'!$M$544+'COMPARAISON DÉTAILLÉE BRUTE'!F13,-4)</f>
        <v>3890000</v>
      </c>
      <c r="F9" s="13">
        <f>ROUND('[2]Belgique Non Print Version'!$N$266+'[2]Belgique Non Print Version'!$N$544+'COMPARAISON DÉTAILLÉE BRUTE'!G13,-4)</f>
        <v>3350000</v>
      </c>
      <c r="G9" s="5">
        <f>SUM(B9:F9)</f>
        <v>12200000</v>
      </c>
      <c r="H9" s="166">
        <f>G9/G13</f>
        <v>0.29741589468551927</v>
      </c>
    </row>
    <row r="10" spans="1:8">
      <c r="A10" t="s">
        <v>113</v>
      </c>
      <c r="D10" s="13">
        <f>ROUND('[2] Netherlands &amp; Flemish Language'!$H$116,-4)</f>
        <v>340000</v>
      </c>
      <c r="E10" s="13">
        <f>ROUND('[2] Netherlands &amp; Flemish Language'!$I$116,-4)</f>
        <v>4250000</v>
      </c>
      <c r="F10" s="13">
        <f>ROUND('[2] Netherlands &amp; Flemish Language'!$J$116,-4)</f>
        <v>4240000</v>
      </c>
      <c r="G10" s="5">
        <f>SUM(B10:F10)</f>
        <v>8830000</v>
      </c>
      <c r="H10" s="166">
        <f>G10/G13</f>
        <v>0.21526084836665041</v>
      </c>
    </row>
    <row r="11" spans="1:8">
      <c r="A11" t="s">
        <v>112</v>
      </c>
      <c r="B11" s="13">
        <v>350000</v>
      </c>
      <c r="G11" s="5">
        <f t="shared" ref="G11:G12" si="0">SUM(B11:F11)</f>
        <v>350000</v>
      </c>
      <c r="H11" s="166">
        <f>G11/G13</f>
        <v>8.5324232081911266E-3</v>
      </c>
    </row>
    <row r="12" spans="1:8" ht="16" thickBot="1">
      <c r="A12" t="s">
        <v>111</v>
      </c>
      <c r="B12" s="13">
        <v>200000</v>
      </c>
      <c r="G12" s="99">
        <f t="shared" si="0"/>
        <v>200000</v>
      </c>
      <c r="H12" s="110"/>
    </row>
    <row r="13" spans="1:8" ht="16" thickTop="1">
      <c r="G13" s="5">
        <f>SUM(G8:G12)</f>
        <v>41020000</v>
      </c>
      <c r="H13" s="110"/>
    </row>
    <row r="14" spans="1:8" ht="57" customHeight="1">
      <c r="A14" s="102" t="s">
        <v>154</v>
      </c>
    </row>
    <row r="15" spans="1:8">
      <c r="B15" s="156" t="s">
        <v>115</v>
      </c>
      <c r="C15" s="156" t="s">
        <v>114</v>
      </c>
      <c r="D15" s="156" t="s">
        <v>113</v>
      </c>
      <c r="E15" s="156" t="s">
        <v>112</v>
      </c>
      <c r="F15" s="156" t="s">
        <v>111</v>
      </c>
    </row>
    <row r="16" spans="1:8" ht="26" customHeight="1">
      <c r="A16" s="127" t="s">
        <v>135</v>
      </c>
      <c r="B16" s="5">
        <f>B8</f>
        <v>570000</v>
      </c>
      <c r="C16" s="5">
        <f>B9</f>
        <v>950000</v>
      </c>
      <c r="E16" s="5">
        <f>B11</f>
        <v>350000</v>
      </c>
      <c r="F16" s="5">
        <f>B12</f>
        <v>200000</v>
      </c>
    </row>
    <row r="17" spans="1:4">
      <c r="A17" s="126" t="s">
        <v>134</v>
      </c>
      <c r="B17" s="5">
        <f>B16+C8</f>
        <v>1620000</v>
      </c>
      <c r="C17" s="5">
        <f>C16+C9</f>
        <v>2320000</v>
      </c>
    </row>
    <row r="18" spans="1:4">
      <c r="A18" s="126" t="s">
        <v>138</v>
      </c>
      <c r="B18" s="5">
        <f>B17+D8</f>
        <v>2870000</v>
      </c>
      <c r="C18" s="5">
        <f>C17+D9</f>
        <v>4960000</v>
      </c>
      <c r="D18" s="5">
        <f>D10</f>
        <v>340000</v>
      </c>
    </row>
    <row r="19" spans="1:4">
      <c r="A19" s="155" t="s">
        <v>137</v>
      </c>
      <c r="B19" s="5">
        <f>B18+E8</f>
        <v>9350000</v>
      </c>
      <c r="C19" s="5">
        <f>C18+E9</f>
        <v>8850000</v>
      </c>
      <c r="D19" s="5">
        <f>D18+E10</f>
        <v>4590000</v>
      </c>
    </row>
    <row r="20" spans="1:4">
      <c r="A20" s="127" t="s">
        <v>136</v>
      </c>
      <c r="B20" s="5">
        <f>B19+F8</f>
        <v>19440000</v>
      </c>
      <c r="C20" s="5">
        <f>C19+F9</f>
        <v>12200000</v>
      </c>
      <c r="D20" s="5">
        <f>D19+F10</f>
        <v>8830000</v>
      </c>
    </row>
  </sheetData>
  <mergeCells count="2">
    <mergeCell ref="A1:H1"/>
    <mergeCell ref="A2:H2"/>
  </mergeCells>
  <phoneticPr fontId="5" type="noConversion"/>
  <printOptions horizontalCentered="1" verticalCentered="1"/>
  <pageMargins left="0" right="0" top="1.75" bottom="0.5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" workbookViewId="0">
      <selection activeCell="A38" sqref="A38"/>
    </sheetView>
  </sheetViews>
  <sheetFormatPr baseColWidth="10" defaultRowHeight="15" x14ac:dyDescent="0"/>
  <cols>
    <col min="2" max="2" width="14.83203125" customWidth="1"/>
    <col min="3" max="5" width="13.1640625" bestFit="1" customWidth="1"/>
    <col min="6" max="6" width="14.1640625" bestFit="1" customWidth="1"/>
    <col min="7" max="7" width="11.33203125" customWidth="1"/>
    <col min="8" max="8" width="12.1640625" customWidth="1"/>
  </cols>
  <sheetData>
    <row r="1" spans="1:9" ht="20">
      <c r="A1" s="101" t="s">
        <v>123</v>
      </c>
    </row>
    <row r="2" spans="1:9" ht="28" customHeight="1">
      <c r="A2" s="12" t="s">
        <v>49</v>
      </c>
    </row>
    <row r="4" spans="1:9">
      <c r="A4" t="s">
        <v>48</v>
      </c>
      <c r="C4" s="32" t="s">
        <v>4</v>
      </c>
      <c r="D4" s="32" t="s">
        <v>3</v>
      </c>
      <c r="E4" s="32" t="s">
        <v>2</v>
      </c>
      <c r="F4" s="32" t="s">
        <v>1</v>
      </c>
      <c r="G4" s="32" t="s">
        <v>0</v>
      </c>
      <c r="H4" s="32" t="s">
        <v>47</v>
      </c>
    </row>
    <row r="6" spans="1:9" ht="17" customHeight="1"/>
    <row r="7" spans="1:9">
      <c r="A7" t="s">
        <v>46</v>
      </c>
      <c r="C7" s="13">
        <f>[1]Récapitulatif!$E$16</f>
        <v>565639.14219845063</v>
      </c>
      <c r="D7" s="13">
        <f>[1]Récapitulatif!$F$16</f>
        <v>1052072.8785648085</v>
      </c>
      <c r="E7" s="13">
        <f>[1]Récapitulatif!$G$16</f>
        <v>1250130.1959150666</v>
      </c>
      <c r="F7" s="13">
        <f>[1]Récapitulatif!$H$16</f>
        <v>6478271.3247166015</v>
      </c>
      <c r="G7" s="13">
        <f>[1]Récapitulatif!$I$16</f>
        <v>10086717.458605073</v>
      </c>
      <c r="H7" s="13">
        <v>19432831</v>
      </c>
    </row>
    <row r="8" spans="1:9">
      <c r="A8" s="42" t="s">
        <v>51</v>
      </c>
      <c r="C8" s="43">
        <f t="shared" ref="C8:H8" si="0">C7/C22</f>
        <v>0.27271938245333505</v>
      </c>
      <c r="D8" s="43">
        <f t="shared" si="0"/>
        <v>0.45152054585363111</v>
      </c>
      <c r="E8" s="43">
        <f t="shared" si="0"/>
        <v>0.28456452201215576</v>
      </c>
      <c r="F8" s="43">
        <f t="shared" si="0"/>
        <v>0.44396351716871529</v>
      </c>
      <c r="G8" s="43">
        <f t="shared" si="0"/>
        <v>0.57337060981912191</v>
      </c>
      <c r="H8" s="43">
        <f t="shared" si="0"/>
        <v>0.47418962298183936</v>
      </c>
    </row>
    <row r="9" spans="1:9">
      <c r="C9" s="13"/>
      <c r="D9" s="13"/>
      <c r="E9" s="13"/>
      <c r="F9" s="13"/>
      <c r="G9" s="13"/>
      <c r="H9" s="13"/>
    </row>
    <row r="10" spans="1:9">
      <c r="A10" t="s">
        <v>38</v>
      </c>
      <c r="C10" s="13">
        <f>[2]Belgique!$I$564</f>
        <v>216444.87256042086</v>
      </c>
      <c r="D10" s="13">
        <f>[2]Belgique!$J$564</f>
        <v>306560.57879005343</v>
      </c>
      <c r="E10" s="13">
        <f>[2]Belgique!$K$564</f>
        <v>2307871.6390139526</v>
      </c>
      <c r="F10" s="13">
        <f>[2]Belgique!$L$564</f>
        <v>5475599.6241590297</v>
      </c>
      <c r="G10" s="13">
        <f>[2]Belgique!$M$564</f>
        <v>2590214.3505685227</v>
      </c>
      <c r="H10" s="13">
        <f>SUM(C10:G10)</f>
        <v>10896691.065091979</v>
      </c>
      <c r="I10" s="5"/>
    </row>
    <row r="11" spans="1:9">
      <c r="A11" s="42" t="s">
        <v>51</v>
      </c>
      <c r="C11" s="43">
        <f t="shared" ref="C11:H11" si="1">C10/C22</f>
        <v>0.10435754454764901</v>
      </c>
      <c r="D11" s="43">
        <f t="shared" si="1"/>
        <v>0.1315673112506372</v>
      </c>
      <c r="E11" s="43">
        <f t="shared" si="1"/>
        <v>0.52533599457670765</v>
      </c>
      <c r="F11" s="43">
        <f t="shared" si="1"/>
        <v>0.37524925182964353</v>
      </c>
      <c r="G11" s="43">
        <f t="shared" si="1"/>
        <v>0.14723846363721796</v>
      </c>
      <c r="H11" s="43">
        <f t="shared" si="1"/>
        <v>0.26589526908897337</v>
      </c>
    </row>
    <row r="12" spans="1:9">
      <c r="C12" s="13"/>
      <c r="D12" s="13"/>
      <c r="E12" s="13"/>
      <c r="F12" s="13"/>
      <c r="G12" s="13"/>
      <c r="H12" s="13"/>
    </row>
    <row r="13" spans="1:9">
      <c r="A13" t="s">
        <v>37</v>
      </c>
      <c r="C13" s="13">
        <f>'ANALYSE COMPARATIVE DÉTAILLÉE'!C34</f>
        <v>754947.17823607277</v>
      </c>
      <c r="D13" s="13">
        <f>'ANALYSE COMPARATIVE DÉTAILLÉE'!D34</f>
        <v>1092661.8811921952</v>
      </c>
      <c r="E13" s="13">
        <f>'ANALYSE COMPARATIVE DÉTAILLÉE'!E34</f>
        <v>688195.58349881566</v>
      </c>
      <c r="F13" s="13">
        <f>'ANALYSE COMPARATIVE DÉTAILLÉE'!F34</f>
        <v>2055210.2280362598</v>
      </c>
      <c r="G13" s="13">
        <f>'ANALYSE COMPARATIVE DÉTAILLÉE'!G34</f>
        <v>3155881.2580195861</v>
      </c>
      <c r="H13" s="13">
        <f>SUM(C13:G13)</f>
        <v>7746896.1289829295</v>
      </c>
    </row>
    <row r="14" spans="1:9">
      <c r="A14" s="42" t="s">
        <v>51</v>
      </c>
      <c r="C14" s="43">
        <f t="shared" ref="C14:H14" si="2">C13/C22</f>
        <v>0.36399307062309871</v>
      </c>
      <c r="D14" s="43">
        <f t="shared" si="2"/>
        <v>0.46894022180514189</v>
      </c>
      <c r="E14" s="43">
        <f t="shared" si="2"/>
        <v>0.1566525214006767</v>
      </c>
      <c r="F14" s="43">
        <f t="shared" si="2"/>
        <v>0.140845962699781</v>
      </c>
      <c r="G14" s="43">
        <f t="shared" si="2"/>
        <v>0.1793933030099634</v>
      </c>
      <c r="H14" s="43">
        <f t="shared" si="2"/>
        <v>0.18903564563917044</v>
      </c>
    </row>
    <row r="15" spans="1:9">
      <c r="C15" s="13"/>
      <c r="D15" s="13"/>
      <c r="E15" s="13"/>
      <c r="F15" s="13"/>
      <c r="G15" s="13"/>
      <c r="H15" s="13"/>
    </row>
    <row r="16" spans="1:9">
      <c r="A16" t="s">
        <v>21</v>
      </c>
      <c r="C16" s="13">
        <v>537039</v>
      </c>
      <c r="D16" s="13"/>
      <c r="E16" s="13"/>
      <c r="F16" s="13"/>
      <c r="G16" s="13"/>
      <c r="H16" s="13">
        <v>537039</v>
      </c>
    </row>
    <row r="17" spans="1:8">
      <c r="A17" s="42" t="s">
        <v>51</v>
      </c>
      <c r="C17" s="45">
        <f>C16/C22</f>
        <v>0.25893000237591723</v>
      </c>
      <c r="D17" s="13"/>
      <c r="E17" s="13"/>
      <c r="F17" s="13"/>
      <c r="G17" s="13"/>
      <c r="H17" s="44">
        <f>H16/H22</f>
        <v>1.3104540503467767E-2</v>
      </c>
    </row>
    <row r="18" spans="1:8">
      <c r="C18" s="13"/>
      <c r="D18" s="13"/>
      <c r="E18" s="13"/>
      <c r="F18" s="13"/>
      <c r="G18" s="13"/>
      <c r="H18" s="13"/>
    </row>
    <row r="19" spans="1:8">
      <c r="A19" t="s">
        <v>20</v>
      </c>
      <c r="C19" s="13"/>
      <c r="D19" s="13"/>
      <c r="E19" s="13">
        <f>'[2] Netherlands &amp; Flemish Language'!$H$111</f>
        <v>146937</v>
      </c>
      <c r="F19" s="13">
        <f>'[2] Netherlands &amp; Flemish Language'!$I$111</f>
        <v>582819</v>
      </c>
      <c r="G19" s="13">
        <f>'[2] Netherlands &amp; Flemish Language'!$J$111</f>
        <v>1759155</v>
      </c>
      <c r="H19" s="13">
        <v>2488911</v>
      </c>
    </row>
    <row r="20" spans="1:8">
      <c r="A20" s="42" t="s">
        <v>51</v>
      </c>
      <c r="C20" s="13"/>
      <c r="D20" s="13"/>
      <c r="E20" s="43">
        <f>E19/E22</f>
        <v>3.3446962010459984E-2</v>
      </c>
      <c r="F20" s="43">
        <f>F19/F22</f>
        <v>3.9941268301860261E-2</v>
      </c>
      <c r="G20" s="43">
        <f>G19/G22</f>
        <v>9.9997623533696831E-2</v>
      </c>
      <c r="H20" s="43">
        <f>H19/H22</f>
        <v>6.073308457863668E-2</v>
      </c>
    </row>
    <row r="21" spans="1:8">
      <c r="A21" s="42"/>
      <c r="C21" s="13"/>
      <c r="D21" s="13"/>
      <c r="E21" s="13"/>
      <c r="F21" s="13"/>
      <c r="G21" s="13"/>
      <c r="H21" s="13"/>
    </row>
    <row r="22" spans="1:8">
      <c r="A22" t="s">
        <v>15</v>
      </c>
      <c r="C22" s="13">
        <f>C7+C10+C13+C16</f>
        <v>2074070.1929949443</v>
      </c>
      <c r="D22" s="13">
        <v>2330066.4570552185</v>
      </c>
      <c r="E22" s="13">
        <f>'ANALYSE COMPARATIVE DÉTAILLÉE'!E45</f>
        <v>4393134.4184278343</v>
      </c>
      <c r="F22" s="13">
        <f>'ANALYSE COMPARATIVE DÉTAILLÉE'!F45</f>
        <v>14591900.176911891</v>
      </c>
      <c r="G22" s="13">
        <f>'ANALYSE COMPARATIVE DÉTAILLÉE'!G45</f>
        <v>17591968.06719318</v>
      </c>
      <c r="H22" s="13">
        <f>SUM(C22:G22)</f>
        <v>40981139.312583067</v>
      </c>
    </row>
    <row r="23" spans="1:8">
      <c r="C23" s="13"/>
      <c r="D23" s="13"/>
      <c r="E23" s="13"/>
      <c r="F23" s="13"/>
      <c r="G23" s="13"/>
      <c r="H23" s="13"/>
    </row>
    <row r="24" spans="1:8">
      <c r="C24" s="13"/>
      <c r="D24" s="13"/>
      <c r="E24" s="13"/>
      <c r="F24" s="13"/>
      <c r="G24" s="13"/>
      <c r="H24" s="13"/>
    </row>
    <row r="25" spans="1:8">
      <c r="A25" t="s">
        <v>14</v>
      </c>
      <c r="C25" s="13">
        <f>C27+C30+C33</f>
        <v>3057089.0986797307</v>
      </c>
      <c r="D25" s="13">
        <f>D27+D30+D33</f>
        <v>2692078.9833121393</v>
      </c>
      <c r="E25" s="13">
        <f>E27+E30+E33</f>
        <v>3939545.4461960495</v>
      </c>
      <c r="F25" s="13">
        <f>F27+F30+F33</f>
        <v>5567703.0119465338</v>
      </c>
      <c r="G25" s="13">
        <f>G27+G30+G33</f>
        <v>5395866.0604917901</v>
      </c>
      <c r="H25" s="13">
        <f>SUM(C25:G25)</f>
        <v>20652282.600626241</v>
      </c>
    </row>
    <row r="26" spans="1:8">
      <c r="C26" s="13"/>
      <c r="D26" s="13"/>
      <c r="E26" s="13"/>
      <c r="F26" s="13"/>
      <c r="G26" s="13"/>
      <c r="H26" s="13"/>
    </row>
    <row r="27" spans="1:8">
      <c r="A27" t="s">
        <v>53</v>
      </c>
      <c r="C27" s="13">
        <f>'[4]SUISSE PAR CANTON '!$E$31</f>
        <v>2622822.0986797307</v>
      </c>
      <c r="D27" s="13">
        <f>'[4]SUISSE PAR CANTON '!$F$31</f>
        <v>1403710.9833121395</v>
      </c>
      <c r="E27" s="13">
        <f>'[4]SUISSE PAR CANTON '!$G$31</f>
        <v>1494066.4461960492</v>
      </c>
      <c r="F27" s="13">
        <f>'[4]SUISSE PAR CANTON '!$H$31</f>
        <v>902386.01194653416</v>
      </c>
      <c r="G27" s="13">
        <f>'[4]SUISSE PAR CANTON '!$I$31</f>
        <v>926539.06049178971</v>
      </c>
      <c r="H27" s="5">
        <f>SUM(C27:G27)</f>
        <v>7349524.6006262433</v>
      </c>
    </row>
    <row r="28" spans="1:8">
      <c r="A28" s="41" t="s">
        <v>51</v>
      </c>
      <c r="C28" s="44">
        <f t="shared" ref="C28:H28" si="3">C27/C25</f>
        <v>0.85794754880139168</v>
      </c>
      <c r="D28" s="44">
        <f t="shared" si="3"/>
        <v>0.52142265959266731</v>
      </c>
      <c r="E28" s="44">
        <f t="shared" si="3"/>
        <v>0.37924843528298208</v>
      </c>
      <c r="F28" s="44">
        <f t="shared" si="3"/>
        <v>0.16207509811681739</v>
      </c>
      <c r="G28" s="44">
        <f t="shared" si="3"/>
        <v>0.17171276123324364</v>
      </c>
      <c r="H28" s="44">
        <f t="shared" si="3"/>
        <v>0.35586984464387406</v>
      </c>
    </row>
    <row r="29" spans="1:8">
      <c r="C29" s="13"/>
      <c r="D29" s="13"/>
      <c r="E29" s="13"/>
      <c r="F29" s="13"/>
      <c r="G29" s="13"/>
      <c r="H29" s="5"/>
    </row>
    <row r="30" spans="1:8">
      <c r="A30" t="s">
        <v>46</v>
      </c>
      <c r="C30" s="13">
        <f>'[4]SUISSE PAR CANTON '!$E$33</f>
        <v>434267</v>
      </c>
      <c r="D30" s="13">
        <f>'[4]SUISSE PAR CANTON '!$F$33</f>
        <v>1042329</v>
      </c>
      <c r="E30" s="13">
        <f>'[4]SUISSE PAR CANTON '!$G$33</f>
        <v>2273396</v>
      </c>
      <c r="F30" s="13">
        <f>'[4]SUISSE PAR CANTON '!$H$33</f>
        <v>4575825</v>
      </c>
      <c r="G30" s="13">
        <f>'[4]SUISSE PAR CANTON '!$I$33</f>
        <v>4099239</v>
      </c>
      <c r="H30" s="5">
        <f>SUM(C30:G30)</f>
        <v>12425056</v>
      </c>
    </row>
    <row r="31" spans="1:8">
      <c r="A31" s="41" t="s">
        <v>51</v>
      </c>
      <c r="C31" s="44">
        <f t="shared" ref="C31:H31" si="4">C30/C25</f>
        <v>0.14205245119860835</v>
      </c>
      <c r="D31" s="44">
        <f t="shared" si="4"/>
        <v>0.38718366231498669</v>
      </c>
      <c r="E31" s="44">
        <f t="shared" si="4"/>
        <v>0.57707063696781269</v>
      </c>
      <c r="F31" s="44">
        <f t="shared" si="4"/>
        <v>0.82185148708214562</v>
      </c>
      <c r="G31" s="44">
        <f t="shared" si="4"/>
        <v>0.75969991731529141</v>
      </c>
      <c r="H31" s="44">
        <f t="shared" si="4"/>
        <v>0.60163112428178922</v>
      </c>
    </row>
    <row r="32" spans="1:8">
      <c r="C32" s="13"/>
      <c r="D32" s="13"/>
      <c r="E32" s="13"/>
      <c r="F32" s="13"/>
      <c r="G32" s="13"/>
      <c r="H32" s="5"/>
    </row>
    <row r="33" spans="1:8">
      <c r="A33" t="s">
        <v>52</v>
      </c>
      <c r="C33" s="13">
        <f>'[4]SUISSE PAR CANTON '!$E$35</f>
        <v>0</v>
      </c>
      <c r="D33" s="13">
        <f>'[4]SUISSE PAR CANTON '!$F$35</f>
        <v>246039</v>
      </c>
      <c r="E33" s="13">
        <f>'[4]SUISSE PAR CANTON '!$G$35</f>
        <v>172083</v>
      </c>
      <c r="F33" s="13">
        <f>'[4]SUISSE PAR CANTON '!$H$35</f>
        <v>89492</v>
      </c>
      <c r="G33" s="13">
        <f>'[4]SUISSE PAR CANTON '!$I$35</f>
        <v>370088</v>
      </c>
      <c r="H33" s="5">
        <f>SUM(C33:G33)</f>
        <v>877702</v>
      </c>
    </row>
    <row r="34" spans="1:8">
      <c r="A34" s="41" t="s">
        <v>51</v>
      </c>
      <c r="C34" s="44">
        <f t="shared" ref="C34:H34" si="5">C33/C25</f>
        <v>0</v>
      </c>
      <c r="D34" s="44">
        <f t="shared" si="5"/>
        <v>9.1393678092346095E-2</v>
      </c>
      <c r="E34" s="44">
        <f t="shared" si="5"/>
        <v>4.3680927749205199E-2</v>
      </c>
      <c r="F34" s="44">
        <f t="shared" si="5"/>
        <v>1.6073414801037054E-2</v>
      </c>
      <c r="G34" s="44">
        <f t="shared" si="5"/>
        <v>6.8587321451464914E-2</v>
      </c>
      <c r="H34" s="44">
        <f t="shared" si="5"/>
        <v>4.2499031074336807E-2</v>
      </c>
    </row>
    <row r="35" spans="1:8">
      <c r="C35" s="13"/>
      <c r="D35" s="13"/>
      <c r="E35" s="13"/>
      <c r="F35" s="13"/>
      <c r="G35" s="13"/>
      <c r="H35" s="5"/>
    </row>
    <row r="36" spans="1:8">
      <c r="A36" t="s">
        <v>37</v>
      </c>
      <c r="F36">
        <f>'[4]SUISSE PAR CANTON '!$H$38</f>
        <v>0</v>
      </c>
      <c r="G36">
        <f>'[4]SUISSE PAR CANTON '!$I$38</f>
        <v>0</v>
      </c>
      <c r="H36" s="5"/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honeticPr fontId="5" type="noConversion"/>
  <pageMargins left="0.75" right="0.75" top="1" bottom="1" header="0.5" footer="0.5"/>
  <pageSetup paperSize="3" scale="5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COMPARAISON SIMPLIFIÉE</vt:lpstr>
      <vt:lpstr>ANALYSE COMPARATIVE DÉTAILLÉE</vt:lpstr>
      <vt:lpstr>ANALYSE PAR CRÉNEAUX HORAIRES</vt:lpstr>
      <vt:lpstr>COMPARAISON ANALYTIQUE PAR PAYS</vt:lpstr>
      <vt:lpstr>MÉTHODOLOGIE DE L'ANALYSE</vt:lpstr>
      <vt:lpstr>ANALYSE LINGUISTIQUE DU PROJET</vt:lpstr>
      <vt:lpstr>COMPARAISON DÉTAILLÉE BRUTE</vt:lpstr>
      <vt:lpstr>Sheet1</vt:lpstr>
    </vt:vector>
  </TitlesOfParts>
  <Company>IP Finance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Didier</dc:creator>
  <cp:lastModifiedBy>Nicholas Didier</cp:lastModifiedBy>
  <cp:lastPrinted>2013-12-08T16:24:37Z</cp:lastPrinted>
  <dcterms:created xsi:type="dcterms:W3CDTF">2013-11-25T21:47:54Z</dcterms:created>
  <dcterms:modified xsi:type="dcterms:W3CDTF">2013-12-10T15:56:43Z</dcterms:modified>
</cp:coreProperties>
</file>