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LABFLUID\lab11\"/>
    </mc:Choice>
  </mc:AlternateContent>
  <xr:revisionPtr revIDLastSave="0" documentId="13_ncr:1_{AA99A0AB-F698-41A6-9BCE-F3F6386A4595}" xr6:coauthVersionLast="47" xr6:coauthVersionMax="47" xr10:uidLastSave="{00000000-0000-0000-0000-000000000000}"/>
  <bookViews>
    <workbookView xWindow="28680" yWindow="-120" windowWidth="29040" windowHeight="15720" xr2:uid="{DD930733-D6D9-0543-9D83-32F9058366BC}"/>
  </bookViews>
  <sheets>
    <sheet name="Sheet1" sheetId="1" r:id="rId1"/>
    <sheet name="te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G20" i="1"/>
  <c r="H20" i="1" s="1"/>
  <c r="G21" i="1"/>
  <c r="G22" i="1"/>
  <c r="H22" i="1" s="1"/>
  <c r="G23" i="1"/>
  <c r="H23" i="1" s="1"/>
  <c r="G24" i="1"/>
  <c r="H24" i="1" s="1"/>
  <c r="G25" i="1"/>
  <c r="H25" i="1" s="1"/>
  <c r="G26" i="1"/>
  <c r="H26" i="1" s="1"/>
  <c r="J26" i="1" s="1"/>
  <c r="N26" i="1" s="1"/>
  <c r="G27" i="1"/>
  <c r="H27" i="1" s="1"/>
  <c r="J27" i="1" s="1"/>
  <c r="N27" i="1" s="1"/>
  <c r="G28" i="1"/>
  <c r="H28" i="1" s="1"/>
  <c r="J28" i="1" s="1"/>
  <c r="N28" i="1" s="1"/>
  <c r="G19" i="1"/>
  <c r="H19" i="1" s="1"/>
  <c r="J19" i="1" s="1"/>
  <c r="N19" i="1" s="1"/>
  <c r="G5" i="1"/>
  <c r="H5" i="1" s="1"/>
  <c r="G6" i="1"/>
  <c r="H6" i="1" s="1"/>
  <c r="G7" i="1"/>
  <c r="H7" i="1" s="1"/>
  <c r="K7" i="1" s="1"/>
  <c r="G8" i="1"/>
  <c r="H8" i="1" s="1"/>
  <c r="J8" i="1" s="1"/>
  <c r="N8" i="1" s="1"/>
  <c r="G9" i="1"/>
  <c r="H9" i="1" s="1"/>
  <c r="K9" i="1" s="1"/>
  <c r="G10" i="1"/>
  <c r="H10" i="1" s="1"/>
  <c r="K10" i="1" s="1"/>
  <c r="G11" i="1"/>
  <c r="G12" i="1"/>
  <c r="H12" i="1" s="1"/>
  <c r="K12" i="1" s="1"/>
  <c r="G13" i="1"/>
  <c r="H13" i="1" s="1"/>
  <c r="G4" i="1"/>
  <c r="R34" i="1"/>
  <c r="F39" i="2"/>
  <c r="J22" i="2"/>
  <c r="E16" i="2"/>
  <c r="D16" i="2"/>
  <c r="I10" i="1"/>
  <c r="O10" i="1" s="1"/>
  <c r="I12" i="1"/>
  <c r="I13" i="1"/>
  <c r="F4" i="1"/>
  <c r="I4" i="1" s="1"/>
  <c r="O4" i="1" s="1"/>
  <c r="F28" i="1"/>
  <c r="D28" i="1"/>
  <c r="F27" i="1"/>
  <c r="I27" i="1" s="1"/>
  <c r="O27" i="1" s="1"/>
  <c r="D27" i="1"/>
  <c r="F26" i="1"/>
  <c r="I26" i="1" s="1"/>
  <c r="O26" i="1" s="1"/>
  <c r="D26" i="1"/>
  <c r="F25" i="1"/>
  <c r="D25" i="1"/>
  <c r="F24" i="1"/>
  <c r="D24" i="1"/>
  <c r="F23" i="1"/>
  <c r="I23" i="1" s="1"/>
  <c r="O23" i="1" s="1"/>
  <c r="D23" i="1"/>
  <c r="F22" i="1"/>
  <c r="I22" i="1" s="1"/>
  <c r="O22" i="1" s="1"/>
  <c r="D22" i="1"/>
  <c r="H21" i="1"/>
  <c r="F21" i="1"/>
  <c r="I21" i="1" s="1"/>
  <c r="O21" i="1" s="1"/>
  <c r="D21" i="1"/>
  <c r="F20" i="1"/>
  <c r="I20" i="1" s="1"/>
  <c r="O20" i="1" s="1"/>
  <c r="D20" i="1"/>
  <c r="F19" i="1"/>
  <c r="D19" i="1"/>
  <c r="D5" i="1"/>
  <c r="D6" i="1"/>
  <c r="D7" i="1"/>
  <c r="D8" i="1"/>
  <c r="D9" i="1"/>
  <c r="D10" i="1"/>
  <c r="D11" i="1"/>
  <c r="D12" i="1"/>
  <c r="D13" i="1"/>
  <c r="D4" i="1"/>
  <c r="H11" i="1"/>
  <c r="J11" i="1" s="1"/>
  <c r="N11" i="1" s="1"/>
  <c r="H4" i="1"/>
  <c r="J4" i="1" s="1"/>
  <c r="F5" i="1"/>
  <c r="I5" i="1" s="1"/>
  <c r="O5" i="1" s="1"/>
  <c r="F6" i="1"/>
  <c r="I6" i="1" s="1"/>
  <c r="O6" i="1" s="1"/>
  <c r="F7" i="1"/>
  <c r="I7" i="1" s="1"/>
  <c r="O7" i="1" s="1"/>
  <c r="F8" i="1"/>
  <c r="I8" i="1" s="1"/>
  <c r="O8" i="1" s="1"/>
  <c r="F9" i="1"/>
  <c r="I9" i="1" s="1"/>
  <c r="O9" i="1" s="1"/>
  <c r="F10" i="1"/>
  <c r="F11" i="1"/>
  <c r="I11" i="1" s="1"/>
  <c r="O11" i="1" s="1"/>
  <c r="F12" i="1"/>
  <c r="F13" i="1"/>
  <c r="K21" i="1" l="1"/>
  <c r="K19" i="1"/>
  <c r="K22" i="1"/>
  <c r="K4" i="1"/>
  <c r="K23" i="1"/>
  <c r="K6" i="1"/>
  <c r="O13" i="1"/>
  <c r="O14" i="1" s="1"/>
  <c r="K26" i="1"/>
  <c r="K5" i="1"/>
  <c r="J20" i="1"/>
  <c r="N20" i="1" s="1"/>
  <c r="Q20" i="1" s="1"/>
  <c r="K20" i="1"/>
  <c r="J25" i="1"/>
  <c r="N25" i="1" s="1"/>
  <c r="P25" i="1" s="1"/>
  <c r="K25" i="1"/>
  <c r="J24" i="1"/>
  <c r="N24" i="1" s="1"/>
  <c r="P24" i="1" s="1"/>
  <c r="K24" i="1"/>
  <c r="K28" i="1"/>
  <c r="K27" i="1"/>
  <c r="J13" i="1"/>
  <c r="N13" i="1" s="1"/>
  <c r="P13" i="1" s="1"/>
  <c r="K13" i="1"/>
  <c r="K11" i="1"/>
  <c r="K8" i="1"/>
  <c r="S4" i="1"/>
  <c r="J12" i="1"/>
  <c r="N12" i="1" s="1"/>
  <c r="J9" i="1"/>
  <c r="N9" i="1" s="1"/>
  <c r="Q26" i="1"/>
  <c r="Q11" i="1"/>
  <c r="P11" i="1"/>
  <c r="J10" i="1"/>
  <c r="N10" i="1" s="1"/>
  <c r="Q8" i="1"/>
  <c r="P8" i="1"/>
  <c r="J7" i="1"/>
  <c r="N7" i="1" s="1"/>
  <c r="N4" i="1"/>
  <c r="J6" i="1"/>
  <c r="N6" i="1" s="1"/>
  <c r="Q27" i="1"/>
  <c r="J5" i="1"/>
  <c r="N5" i="1" s="1"/>
  <c r="P19" i="1"/>
  <c r="P27" i="1"/>
  <c r="P26" i="1"/>
  <c r="P28" i="1"/>
  <c r="J23" i="1"/>
  <c r="N23" i="1" s="1"/>
  <c r="Q23" i="1" s="1"/>
  <c r="J21" i="1"/>
  <c r="N21" i="1" s="1"/>
  <c r="Q21" i="1" s="1"/>
  <c r="I25" i="1"/>
  <c r="O25" i="1" s="1"/>
  <c r="I19" i="1"/>
  <c r="O19" i="1" s="1"/>
  <c r="Q19" i="1" s="1"/>
  <c r="I24" i="1"/>
  <c r="O24" i="1" s="1"/>
  <c r="J22" i="1"/>
  <c r="N22" i="1" s="1"/>
  <c r="Q22" i="1" s="1"/>
  <c r="I28" i="1"/>
  <c r="O28" i="1" s="1"/>
  <c r="Q28" i="1" s="1"/>
  <c r="Q24" i="1" l="1"/>
  <c r="K29" i="1"/>
  <c r="Q36" i="1" s="1"/>
  <c r="R36" i="1" s="1"/>
  <c r="N14" i="1"/>
  <c r="P20" i="1"/>
  <c r="K14" i="1"/>
  <c r="Q34" i="1" s="1"/>
  <c r="Q13" i="1"/>
  <c r="N29" i="1"/>
  <c r="O29" i="1"/>
  <c r="R19" i="1"/>
  <c r="V19" i="1" s="1"/>
  <c r="Q25" i="1"/>
  <c r="Q29" i="1" s="1"/>
  <c r="Q10" i="1"/>
  <c r="P10" i="1"/>
  <c r="P5" i="1"/>
  <c r="Q5" i="1"/>
  <c r="P22" i="1"/>
  <c r="P6" i="1"/>
  <c r="Q6" i="1"/>
  <c r="Q9" i="1"/>
  <c r="P9" i="1"/>
  <c r="S19" i="1"/>
  <c r="P23" i="1"/>
  <c r="Q7" i="1"/>
  <c r="P7" i="1"/>
  <c r="P21" i="1"/>
  <c r="P4" i="1"/>
  <c r="Q4" i="1"/>
  <c r="R4" i="1"/>
  <c r="V4" i="1" s="1"/>
  <c r="P12" i="1"/>
  <c r="Q12" i="1"/>
  <c r="P14" i="1" l="1"/>
  <c r="U19" i="1"/>
  <c r="Q14" i="1"/>
  <c r="T19" i="1"/>
  <c r="P29" i="1"/>
  <c r="W19" i="1"/>
  <c r="X19" i="1" s="1"/>
  <c r="Y19" i="1" s="1"/>
  <c r="T4" i="1"/>
  <c r="U4" i="1"/>
  <c r="W4" i="1" s="1"/>
  <c r="X4" i="1" s="1"/>
  <c r="Y4" i="1" s="1"/>
</calcChain>
</file>

<file path=xl/sharedStrings.xml><?xml version="1.0" encoding="utf-8"?>
<sst xmlns="http://schemas.openxmlformats.org/spreadsheetml/2006/main" count="74" uniqueCount="44">
  <si>
    <t>t(s)</t>
  </si>
  <si>
    <t>สามเหลี่ยม</t>
  </si>
  <si>
    <t>ระดับสันฝาย(มม)</t>
  </si>
  <si>
    <t>V(*10^-3) ลบ.ม</t>
  </si>
  <si>
    <t>ระดับน้ำ(มม)</t>
  </si>
  <si>
    <t>ระดับน้ำ(ม)</t>
  </si>
  <si>
    <t>Q(ลบม/วิ)*10^-4</t>
  </si>
  <si>
    <t>ระดับน้ำเหนือสันฝาย(H)</t>
  </si>
  <si>
    <t>มม</t>
  </si>
  <si>
    <t>ม</t>
  </si>
  <si>
    <t>logQ</t>
  </si>
  <si>
    <t>logH</t>
  </si>
  <si>
    <t>Q/(g^1/2)(H^5/2)</t>
  </si>
  <si>
    <t>สี่เหลี่ยม</t>
  </si>
  <si>
    <t>Xi</t>
  </si>
  <si>
    <t>Yi</t>
  </si>
  <si>
    <t>xi^2</t>
  </si>
  <si>
    <t>xiyi</t>
  </si>
  <si>
    <t>Xbar</t>
  </si>
  <si>
    <t>Ybar</t>
  </si>
  <si>
    <t>sum xiyi</t>
  </si>
  <si>
    <t>sum Xi^2</t>
  </si>
  <si>
    <t>Xbar^2</t>
  </si>
  <si>
    <t>m</t>
  </si>
  <si>
    <t>.</t>
  </si>
  <si>
    <t>logC</t>
  </si>
  <si>
    <t>C</t>
  </si>
  <si>
    <t>Q/(g^1/2)(H^3/2)</t>
  </si>
  <si>
    <t>Hmm</t>
  </si>
  <si>
    <t>Q/บลาๆ</t>
  </si>
  <si>
    <t>เฉลี่ย</t>
  </si>
  <si>
    <t>ฝายรูปสามเหลี่ยม</t>
  </si>
  <si>
    <t>ฝายรูปสี่เหลี่ยม</t>
  </si>
  <si>
    <t>Q=Cd8/15บลาๆ</t>
  </si>
  <si>
    <t>Q/g1/2H5/2</t>
  </si>
  <si>
    <t>Q=Cd2/3บลาๆๆ</t>
  </si>
  <si>
    <t>Q/g1/2H3/2</t>
  </si>
  <si>
    <t>cd</t>
  </si>
  <si>
    <t>Q=0.7542Cd(g^0.5)(H^2.5)</t>
  </si>
  <si>
    <t>Q = 0.028756Cd(g^0.5)(H^1.5)</t>
  </si>
  <si>
    <t>หน้า11-9</t>
  </si>
  <si>
    <t>ผลรวม</t>
  </si>
  <si>
    <t>การทดลองที่</t>
  </si>
  <si>
    <t>Q=CH^m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</si>
</sst>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000"/>
    <numFmt numFmtId="189" formatCode="0.00000"/>
  </numFmts>
  <fonts count="1" x14ac:knownFonts="1">
    <font>
      <sz val="12"/>
      <color theme="1"/>
      <name val="Tahoma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 applyAlignment="1">
      <alignment horizontal="center" vertical="center"/>
    </xf>
    <xf numFmtId="187" fontId="0" fillId="0" borderId="1" xfId="0" applyNumberFormat="1" applyBorder="1" applyAlignment="1">
      <alignment horizontal="center" vertical="center"/>
    </xf>
    <xf numFmtId="0" fontId="0" fillId="2" borderId="1" xfId="0" applyFill="1" applyBorder="1"/>
    <xf numFmtId="187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/>
    <xf numFmtId="2" fontId="0" fillId="0" borderId="1" xfId="0" applyNumberFormat="1" applyBorder="1" applyAlignment="1">
      <alignment horizontal="center" vertical="center"/>
    </xf>
    <xf numFmtId="188" fontId="0" fillId="0" borderId="1" xfId="0" applyNumberFormat="1" applyBorder="1" applyAlignment="1">
      <alignment horizontal="center" vertical="center"/>
    </xf>
    <xf numFmtId="189" fontId="0" fillId="0" borderId="1" xfId="0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188" fontId="0" fillId="9" borderId="1" xfId="0" applyNumberFormat="1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88" fontId="0" fillId="4" borderId="1" xfId="0" applyNumberForma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187" fontId="0" fillId="14" borderId="1" xfId="0" applyNumberForma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187" fontId="0" fillId="5" borderId="9" xfId="0" applyNumberFormat="1" applyFill="1" applyBorder="1" applyAlignment="1">
      <alignment horizontal="center" vertical="center"/>
    </xf>
    <xf numFmtId="187" fontId="0" fillId="5" borderId="10" xfId="0" applyNumberFormat="1" applyFill="1" applyBorder="1" applyAlignment="1">
      <alignment horizontal="center" vertical="center"/>
    </xf>
    <xf numFmtId="187" fontId="0" fillId="5" borderId="1" xfId="0" applyNumberFormat="1" applyFill="1" applyBorder="1" applyAlignment="1">
      <alignment horizontal="center" vertical="center"/>
    </xf>
    <xf numFmtId="188" fontId="0" fillId="5" borderId="9" xfId="0" applyNumberFormat="1" applyFill="1" applyBorder="1" applyAlignment="1">
      <alignment horizontal="center" vertical="center"/>
    </xf>
    <xf numFmtId="188" fontId="0" fillId="5" borderId="10" xfId="0" applyNumberFormat="1" applyFill="1" applyBorder="1" applyAlignment="1">
      <alignment horizontal="center" vertical="center"/>
    </xf>
    <xf numFmtId="188" fontId="0" fillId="5" borderId="1" xfId="0" applyNumberFormat="1" applyFill="1" applyBorder="1" applyAlignment="1">
      <alignment horizontal="center" vertical="center"/>
    </xf>
    <xf numFmtId="0" fontId="0" fillId="5" borderId="0" xfId="0" applyFill="1"/>
    <xf numFmtId="188" fontId="0" fillId="5" borderId="6" xfId="0" applyNumberFormat="1" applyFill="1" applyBorder="1" applyAlignment="1">
      <alignment vertical="center"/>
    </xf>
    <xf numFmtId="188" fontId="0" fillId="5" borderId="0" xfId="0" applyNumberFormat="1" applyFill="1" applyAlignment="1">
      <alignment vertical="center"/>
    </xf>
    <xf numFmtId="0" fontId="0" fillId="5" borderId="0" xfId="0" applyFill="1" applyAlignment="1"/>
    <xf numFmtId="0" fontId="0" fillId="5" borderId="11" xfId="0" applyFill="1" applyBorder="1" applyAlignment="1"/>
    <xf numFmtId="0" fontId="0" fillId="5" borderId="7" xfId="0" applyFill="1" applyBorder="1" applyAlignment="1"/>
    <xf numFmtId="0" fontId="0" fillId="5" borderId="8" xfId="0" applyFill="1" applyBorder="1" applyAlignment="1"/>
    <xf numFmtId="0" fontId="0" fillId="5" borderId="1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0" fillId="5" borderId="8" xfId="0" applyFill="1" applyBorder="1" applyAlignment="1">
      <alignment vertical="center"/>
    </xf>
    <xf numFmtId="0" fontId="0" fillId="0" borderId="1" xfId="0" applyBorder="1"/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h-TH"/>
              <a:t>กราฟความสัมพันธ์ระหว่าง</a:t>
            </a:r>
            <a:r>
              <a:rPr lang="th-TH" baseline="0"/>
              <a:t> </a:t>
            </a:r>
            <a:r>
              <a:rPr lang="en-US" baseline="0"/>
              <a:t>log H </a:t>
            </a:r>
            <a:r>
              <a:rPr lang="th-TH" baseline="0"/>
              <a:t>และ </a:t>
            </a:r>
            <a:r>
              <a:rPr lang="en-US" baseline="0"/>
              <a:t>log 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สามเหลี่ยม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Sheet1!$J$4:$J$13</c:f>
              <c:numCache>
                <c:formatCode>0.000</c:formatCode>
                <c:ptCount val="10"/>
                <c:pt idx="0">
                  <c:v>-1.6161846340195687</c:v>
                </c:pt>
                <c:pt idx="1">
                  <c:v>-1.5583048643592829</c:v>
                </c:pt>
                <c:pt idx="2">
                  <c:v>-1.4989407377822483</c:v>
                </c:pt>
                <c:pt idx="3">
                  <c:v>-1.4534573365218688</c:v>
                </c:pt>
                <c:pt idx="4">
                  <c:v>-1.4202164033831899</c:v>
                </c:pt>
                <c:pt idx="5">
                  <c:v>-1.3752024210392388</c:v>
                </c:pt>
                <c:pt idx="6">
                  <c:v>-1.3990271043132516</c:v>
                </c:pt>
                <c:pt idx="7">
                  <c:v>-1.5316526695878425</c:v>
                </c:pt>
                <c:pt idx="8">
                  <c:v>-1.5702477199975919</c:v>
                </c:pt>
                <c:pt idx="9">
                  <c:v>-1.6798537138889458</c:v>
                </c:pt>
              </c:numCache>
            </c:numRef>
          </c:xVal>
          <c:yVal>
            <c:numRef>
              <c:f>Sheet1!$I$4:$I$13</c:f>
              <c:numCache>
                <c:formatCode>0.000</c:formatCode>
                <c:ptCount val="10"/>
                <c:pt idx="0">
                  <c:v>-3.7078539359785987</c:v>
                </c:pt>
                <c:pt idx="1">
                  <c:v>-3.5696339661988064</c:v>
                </c:pt>
                <c:pt idx="2">
                  <c:v>-3.4759132025306942</c:v>
                </c:pt>
                <c:pt idx="3">
                  <c:v>-3.370698092575577</c:v>
                </c:pt>
                <c:pt idx="4">
                  <c:v>-3.3099139273065608</c:v>
                </c:pt>
                <c:pt idx="5">
                  <c:v>-3.1896640662449549</c:v>
                </c:pt>
                <c:pt idx="6">
                  <c:v>-3.2498774732165998</c:v>
                </c:pt>
                <c:pt idx="7">
                  <c:v>-3.5107683552780831</c:v>
                </c:pt>
                <c:pt idx="8">
                  <c:v>-3.6068588742097312</c:v>
                </c:pt>
                <c:pt idx="9">
                  <c:v>-3.8018608621457806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AE-4B7C-9458-D7D61603217B}"/>
            </c:ext>
          </c:extLst>
        </c:ser>
        <c:ser>
          <c:idx val="1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Sheet1!$J$19:$J$28</c:f>
              <c:numCache>
                <c:formatCode>0.000</c:formatCode>
                <c:ptCount val="10"/>
                <c:pt idx="0">
                  <c:v>-1.3089185078770313</c:v>
                </c:pt>
                <c:pt idx="1">
                  <c:v>-1.2911543619518209</c:v>
                </c:pt>
                <c:pt idx="2">
                  <c:v>-1.2903061302722081</c:v>
                </c:pt>
                <c:pt idx="3">
                  <c:v>-1.6893066876566394</c:v>
                </c:pt>
                <c:pt idx="4">
                  <c:v>-1.5451551399914898</c:v>
                </c:pt>
                <c:pt idx="5">
                  <c:v>-1.4749551929631548</c:v>
                </c:pt>
                <c:pt idx="6">
                  <c:v>-1.423083044034793</c:v>
                </c:pt>
                <c:pt idx="7">
                  <c:v>-1.364013888199167</c:v>
                </c:pt>
                <c:pt idx="8">
                  <c:v>-1.3255981871547182</c:v>
                </c:pt>
                <c:pt idx="9">
                  <c:v>-1.2992962828549806</c:v>
                </c:pt>
              </c:numCache>
            </c:numRef>
          </c:xVal>
          <c:yVal>
            <c:numRef>
              <c:f>Sheet1!$I$19:$I$28</c:f>
              <c:numCache>
                <c:formatCode>0.000</c:formatCode>
                <c:ptCount val="10"/>
                <c:pt idx="0">
                  <c:v>-3.196689278957495</c:v>
                </c:pt>
                <c:pt idx="1">
                  <c:v>-3.1625075095647426</c:v>
                </c:pt>
                <c:pt idx="2">
                  <c:v>-3.1614927815726821</c:v>
                </c:pt>
                <c:pt idx="3">
                  <c:v>-3.7811567605233689</c:v>
                </c:pt>
                <c:pt idx="4">
                  <c:v>-3.5603052432209612</c:v>
                </c:pt>
                <c:pt idx="5">
                  <c:v>-3.4483197649334953</c:v>
                </c:pt>
                <c:pt idx="6">
                  <c:v>-3.366111523378347</c:v>
                </c:pt>
                <c:pt idx="7">
                  <c:v>-3.2673021275878709</c:v>
                </c:pt>
                <c:pt idx="8">
                  <c:v>-3.2041199826559246</c:v>
                </c:pt>
                <c:pt idx="9">
                  <c:v>-3.1748486416645854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AE-4B7C-9458-D7D6160321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6952896"/>
        <c:axId val="1496953376"/>
      </c:scatterChart>
      <c:valAx>
        <c:axId val="1496952896"/>
        <c:scaling>
          <c:orientation val="minMax"/>
          <c:max val="-1.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3376"/>
        <c:crosses val="autoZero"/>
        <c:crossBetween val="midCat"/>
        <c:majorUnit val="5.000000000000001E-2"/>
      </c:valAx>
      <c:valAx>
        <c:axId val="1496953376"/>
        <c:scaling>
          <c:orientation val="minMax"/>
          <c:max val="-3"/>
          <c:min val="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49695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สามเหลี่ยม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Sheet1!$C$4:$C$13</c:f>
              <c:numCache>
                <c:formatCode>0.00</c:formatCode>
                <c:ptCount val="10"/>
                <c:pt idx="0">
                  <c:v>123.3</c:v>
                </c:pt>
                <c:pt idx="1">
                  <c:v>126.75</c:v>
                </c:pt>
                <c:pt idx="2">
                  <c:v>130.80000000000001</c:v>
                </c:pt>
                <c:pt idx="3">
                  <c:v>134.30000000000001</c:v>
                </c:pt>
                <c:pt idx="4">
                  <c:v>137.1</c:v>
                </c:pt>
                <c:pt idx="5">
                  <c:v>141.25</c:v>
                </c:pt>
                <c:pt idx="6">
                  <c:v>139</c:v>
                </c:pt>
                <c:pt idx="7">
                  <c:v>128.5</c:v>
                </c:pt>
                <c:pt idx="8">
                  <c:v>126</c:v>
                </c:pt>
                <c:pt idx="9">
                  <c:v>120</c:v>
                </c:pt>
              </c:numCache>
            </c:numRef>
          </c:xVal>
          <c:yVal>
            <c:numRef>
              <c:f>Sheet1!$K$4:$K$13</c:f>
              <c:numCache>
                <c:formatCode>0.000</c:formatCode>
                <c:ptCount val="10"/>
                <c:pt idx="0">
                  <c:v>0.68670964211303187</c:v>
                </c:pt>
                <c:pt idx="1">
                  <c:v>0.6765403301424916</c:v>
                </c:pt>
                <c:pt idx="2">
                  <c:v>0.59649133364235474</c:v>
                </c:pt>
                <c:pt idx="3">
                  <c:v>0.58493922455812764</c:v>
                </c:pt>
                <c:pt idx="4">
                  <c:v>0.55563881631816059</c:v>
                </c:pt>
                <c:pt idx="5">
                  <c:v>0.56559750194964142</c:v>
                </c:pt>
                <c:pt idx="6">
                  <c:v>0.56474940739429236</c:v>
                </c:pt>
                <c:pt idx="7">
                  <c:v>0.66455176378540881</c:v>
                </c:pt>
                <c:pt idx="8">
                  <c:v>0.6651596897834382</c:v>
                </c:pt>
                <c:pt idx="9">
                  <c:v>0.79788246162732246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43-453D-81BE-C1F87B0D8763}"/>
            </c:ext>
          </c:extLst>
        </c:ser>
        <c:ser>
          <c:idx val="0"/>
          <c:order val="1"/>
          <c:tx>
            <c:v>สี่เหลี่ยม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Sheet1!$C$19:$C$28</c:f>
              <c:numCache>
                <c:formatCode>0.00</c:formatCode>
                <c:ptCount val="10"/>
                <c:pt idx="0">
                  <c:v>118.7</c:v>
                </c:pt>
                <c:pt idx="1">
                  <c:v>120.75</c:v>
                </c:pt>
                <c:pt idx="2">
                  <c:v>120.85</c:v>
                </c:pt>
                <c:pt idx="3">
                  <c:v>90.05</c:v>
                </c:pt>
                <c:pt idx="4">
                  <c:v>98.1</c:v>
                </c:pt>
                <c:pt idx="5">
                  <c:v>103.1</c:v>
                </c:pt>
                <c:pt idx="6">
                  <c:v>107.35</c:v>
                </c:pt>
                <c:pt idx="7">
                  <c:v>112.85</c:v>
                </c:pt>
                <c:pt idx="8">
                  <c:v>116.85</c:v>
                </c:pt>
                <c:pt idx="9">
                  <c:v>119.8</c:v>
                </c:pt>
              </c:numCache>
            </c:numRef>
          </c:xVal>
          <c:yVal>
            <c:numRef>
              <c:f>Sheet1!$K$19:$K$28</c:f>
              <c:numCache>
                <c:formatCode>0.0000</c:formatCode>
                <c:ptCount val="10"/>
                <c:pt idx="0">
                  <c:v>1.8657522720766123E-2</c:v>
                </c:pt>
                <c:pt idx="1">
                  <c:v>1.898407887737948E-2</c:v>
                </c:pt>
                <c:pt idx="2">
                  <c:v>1.8972821034215496E-2</c:v>
                </c:pt>
                <c:pt idx="3">
                  <c:v>1.8070441659229126E-2</c:v>
                </c:pt>
                <c:pt idx="4">
                  <c:v>1.8263876553642665E-2</c:v>
                </c:pt>
                <c:pt idx="5">
                  <c:v>1.854720707656422E-2</c:v>
                </c:pt>
                <c:pt idx="6">
                  <c:v>1.8736071668753306E-2</c:v>
                </c:pt>
                <c:pt idx="7">
                  <c:v>1.9181572207855317E-2</c:v>
                </c:pt>
                <c:pt idx="8">
                  <c:v>1.9428657591532728E-2</c:v>
                </c:pt>
                <c:pt idx="9">
                  <c:v>1.8978473549885907E-2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43-453D-81BE-C1F87B0D8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868592"/>
        <c:axId val="1589869072"/>
      </c:scatterChart>
      <c:valAx>
        <c:axId val="1589868592"/>
        <c:scaling>
          <c:orientation val="minMax"/>
          <c:max val="170"/>
          <c:min val="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9072"/>
        <c:crosses val="autoZero"/>
        <c:crossBetween val="midCat"/>
        <c:majorUnit val="10"/>
      </c:valAx>
      <c:valAx>
        <c:axId val="158986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9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test!$D$6:$D$15</c:f>
              <c:numCache>
                <c:formatCode>General</c:formatCode>
                <c:ptCount val="10"/>
                <c:pt idx="0">
                  <c:v>42.4</c:v>
                </c:pt>
                <c:pt idx="1">
                  <c:v>38.15</c:v>
                </c:pt>
                <c:pt idx="2">
                  <c:v>35.65</c:v>
                </c:pt>
                <c:pt idx="3">
                  <c:v>30.35</c:v>
                </c:pt>
                <c:pt idx="4">
                  <c:v>25.7</c:v>
                </c:pt>
                <c:pt idx="5">
                  <c:v>20.100000000000001</c:v>
                </c:pt>
                <c:pt idx="6">
                  <c:v>16.05</c:v>
                </c:pt>
                <c:pt idx="7">
                  <c:v>12.9</c:v>
                </c:pt>
                <c:pt idx="8">
                  <c:v>8.4499999999999993</c:v>
                </c:pt>
                <c:pt idx="9">
                  <c:v>6.1</c:v>
                </c:pt>
              </c:numCache>
            </c:numRef>
          </c:xVal>
          <c:yVal>
            <c:numRef>
              <c:f>test!$E$6:$E$15</c:f>
              <c:numCache>
                <c:formatCode>General</c:formatCode>
                <c:ptCount val="10"/>
                <c:pt idx="0">
                  <c:v>0.52900000000000003</c:v>
                </c:pt>
                <c:pt idx="1">
                  <c:v>0.81599999999999995</c:v>
                </c:pt>
                <c:pt idx="2">
                  <c:v>0.498</c:v>
                </c:pt>
                <c:pt idx="3">
                  <c:v>0.85799999999999998</c:v>
                </c:pt>
                <c:pt idx="4">
                  <c:v>0.999</c:v>
                </c:pt>
                <c:pt idx="5">
                  <c:v>0.98799999999999999</c:v>
                </c:pt>
                <c:pt idx="6">
                  <c:v>0.83299999999999996</c:v>
                </c:pt>
                <c:pt idx="7">
                  <c:v>2.2080000000000002</c:v>
                </c:pt>
                <c:pt idx="8">
                  <c:v>2.6389999999999998</c:v>
                </c:pt>
                <c:pt idx="9">
                  <c:v>0.54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68-422A-A617-9DCB7124F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6253520"/>
        <c:axId val="1586255920"/>
      </c:scatterChart>
      <c:valAx>
        <c:axId val="1586253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5920"/>
        <c:crosses val="autoZero"/>
        <c:crossBetween val="midCat"/>
      </c:valAx>
      <c:valAx>
        <c:axId val="15862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58625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34289</xdr:colOff>
      <xdr:row>29</xdr:row>
      <xdr:rowOff>70486</xdr:rowOff>
    </xdr:from>
    <xdr:to>
      <xdr:col>6</xdr:col>
      <xdr:colOff>480060</xdr:colOff>
      <xdr:row>49</xdr:row>
      <xdr:rowOff>188595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89CB5-7B34-386E-835E-4614B3EFCD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762000</xdr:colOff>
      <xdr:row>29</xdr:row>
      <xdr:rowOff>106680</xdr:rowOff>
    </xdr:from>
    <xdr:to>
      <xdr:col>13</xdr:col>
      <xdr:colOff>716280</xdr:colOff>
      <xdr:row>52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24AA9-70F0-A5F6-E441-B9A031303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3</xdr:row>
      <xdr:rowOff>38100</xdr:rowOff>
    </xdr:from>
    <xdr:to>
      <xdr:col>13</xdr:col>
      <xdr:colOff>175260</xdr:colOff>
      <xdr:row>17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2F1202-82AB-2CCE-25BD-EDBDAD8ACD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F6C7A-DED1-924B-901B-0FA50C1931C6}">
  <dimension ref="A1:AG36"/>
  <sheetViews>
    <sheetView tabSelected="1" topLeftCell="O1" workbookViewId="0">
      <selection activeCell="AA11" sqref="AA11"/>
    </sheetView>
  </sheetViews>
  <sheetFormatPr defaultColWidth="10.90625" defaultRowHeight="15" x14ac:dyDescent="0.25"/>
  <cols>
    <col min="1" max="1" width="20" customWidth="1"/>
    <col min="2" max="2" width="20.6328125" customWidth="1"/>
    <col min="3" max="3" width="14.7265625" customWidth="1"/>
    <col min="6" max="6" width="15" customWidth="1"/>
    <col min="7" max="8" width="10.6328125" customWidth="1"/>
    <col min="9" max="10" width="11.36328125" bestFit="1" customWidth="1"/>
    <col min="11" max="11" width="24.6328125" customWidth="1"/>
    <col min="12" max="12" width="11.08984375" customWidth="1"/>
    <col min="15" max="15" width="14.26953125" bestFit="1" customWidth="1"/>
    <col min="16" max="16" width="27.54296875" bestFit="1" customWidth="1"/>
    <col min="17" max="17" width="11.6328125" bestFit="1" customWidth="1"/>
    <col min="19" max="19" width="9.90625" customWidth="1"/>
    <col min="20" max="21" width="0" hidden="1" customWidth="1"/>
    <col min="22" max="22" width="9.81640625" hidden="1" customWidth="1"/>
    <col min="23" max="23" width="10.36328125" customWidth="1"/>
  </cols>
  <sheetData>
    <row r="1" spans="1:33" x14ac:dyDescent="0.25">
      <c r="A1" s="24" t="s">
        <v>1</v>
      </c>
      <c r="B1" s="16" t="s">
        <v>2</v>
      </c>
      <c r="C1" s="28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49"/>
    </row>
    <row r="2" spans="1:33" x14ac:dyDescent="0.25">
      <c r="A2" s="25"/>
      <c r="B2" s="15">
        <v>99.1</v>
      </c>
      <c r="C2" s="29"/>
      <c r="D2" s="21"/>
      <c r="E2" s="21"/>
      <c r="F2" s="33" t="s">
        <v>6</v>
      </c>
      <c r="G2" s="37" t="s">
        <v>7</v>
      </c>
      <c r="H2" s="37"/>
      <c r="I2" s="33" t="s">
        <v>10</v>
      </c>
      <c r="J2" s="33" t="s">
        <v>11</v>
      </c>
      <c r="K2" s="33" t="s">
        <v>12</v>
      </c>
      <c r="L2" s="42"/>
      <c r="M2" s="29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49"/>
    </row>
    <row r="3" spans="1:33" x14ac:dyDescent="0.25">
      <c r="A3" s="10" t="s">
        <v>3</v>
      </c>
      <c r="B3" s="10" t="s">
        <v>0</v>
      </c>
      <c r="C3" s="10" t="s">
        <v>4</v>
      </c>
      <c r="D3" s="10" t="s">
        <v>5</v>
      </c>
      <c r="E3" s="30"/>
      <c r="F3" s="33"/>
      <c r="G3" s="11" t="s">
        <v>8</v>
      </c>
      <c r="H3" s="11" t="s">
        <v>9</v>
      </c>
      <c r="I3" s="33"/>
      <c r="J3" s="33"/>
      <c r="K3" s="33"/>
      <c r="L3" s="12"/>
      <c r="M3" s="13" t="s">
        <v>42</v>
      </c>
      <c r="N3" s="13" t="s">
        <v>14</v>
      </c>
      <c r="O3" s="13" t="s">
        <v>15</v>
      </c>
      <c r="P3" s="13" t="s">
        <v>16</v>
      </c>
      <c r="Q3" s="13" t="s">
        <v>17</v>
      </c>
      <c r="R3" s="13" t="s">
        <v>18</v>
      </c>
      <c r="S3" s="13" t="s">
        <v>19</v>
      </c>
      <c r="T3" s="13" t="s">
        <v>20</v>
      </c>
      <c r="U3" s="13" t="s">
        <v>21</v>
      </c>
      <c r="V3" s="14" t="s">
        <v>22</v>
      </c>
      <c r="W3" s="13" t="s">
        <v>23</v>
      </c>
      <c r="X3" s="13" t="s">
        <v>25</v>
      </c>
      <c r="Y3" s="13" t="s">
        <v>26</v>
      </c>
      <c r="Z3" s="60" t="s">
        <v>43</v>
      </c>
    </row>
    <row r="4" spans="1:33" x14ac:dyDescent="0.25">
      <c r="A4" s="1">
        <v>6</v>
      </c>
      <c r="B4" s="7">
        <v>30.62</v>
      </c>
      <c r="C4" s="7">
        <v>123.3</v>
      </c>
      <c r="D4" s="2">
        <f>C4/1000</f>
        <v>0.12329999999999999</v>
      </c>
      <c r="E4" s="31"/>
      <c r="F4" s="2">
        <f>(A4/B4)*10</f>
        <v>1.9595035924232527</v>
      </c>
      <c r="G4" s="7">
        <f>C4-B$2</f>
        <v>24.200000000000003</v>
      </c>
      <c r="H4" s="2">
        <f>G4/1000</f>
        <v>2.4200000000000003E-2</v>
      </c>
      <c r="I4" s="2">
        <f>LOG10(F4*(10^-4))</f>
        <v>-3.7078539359785987</v>
      </c>
      <c r="J4" s="2">
        <f>LOG10(H4)</f>
        <v>-1.6161846340195687</v>
      </c>
      <c r="K4" s="2">
        <f>(F4*(10^-4))/((9.81^0.5)*(H4^2.5))</f>
        <v>0.68670964211303187</v>
      </c>
      <c r="L4" s="43"/>
      <c r="M4" s="39">
        <v>1</v>
      </c>
      <c r="N4" s="2">
        <f>J4</f>
        <v>-1.6161846340195687</v>
      </c>
      <c r="O4" s="2">
        <f>I4</f>
        <v>-3.7078539359785987</v>
      </c>
      <c r="P4" s="2">
        <f>N4^2</f>
        <v>2.6120527712409674</v>
      </c>
      <c r="Q4" s="2">
        <f>N4*O4</f>
        <v>5.992576556517589</v>
      </c>
      <c r="R4" s="2">
        <f>(SUM(N4:N13))/10</f>
        <v>-1.5103087604893028</v>
      </c>
      <c r="S4" s="2">
        <f>(SUM(O4:O13))/10</f>
        <v>-3.4793042755685391</v>
      </c>
      <c r="T4" s="2">
        <f>SUM(Q4:Q13)</f>
        <v>52.725912508637954</v>
      </c>
      <c r="U4" s="2">
        <f>SUM(P4:P13)</f>
        <v>22.898747858352884</v>
      </c>
      <c r="V4" s="2">
        <f>R4^2</f>
        <v>2.2810325520107342</v>
      </c>
      <c r="W4" s="8">
        <f>((T4/10)-(R4*S4))/((U4/10)-V4)</f>
        <v>2.009393035434571</v>
      </c>
      <c r="X4" s="8">
        <f>S4-(W4*R4)</f>
        <v>-0.44450037088551442</v>
      </c>
      <c r="Y4" s="8">
        <f>10^X4</f>
        <v>0.35933508988472457</v>
      </c>
      <c r="Z4" s="59"/>
      <c r="AG4" t="s">
        <v>24</v>
      </c>
    </row>
    <row r="5" spans="1:33" x14ac:dyDescent="0.25">
      <c r="A5" s="1">
        <v>9</v>
      </c>
      <c r="B5" s="7">
        <v>33.409999999999997</v>
      </c>
      <c r="C5" s="7">
        <v>126.75</v>
      </c>
      <c r="D5" s="2">
        <f t="shared" ref="D5:D13" si="0">C5/1000</f>
        <v>0.12675</v>
      </c>
      <c r="E5" s="31"/>
      <c r="F5" s="2">
        <f t="shared" ref="F5:F13" si="1">(A5/B5)*10</f>
        <v>2.6938042502244839</v>
      </c>
      <c r="G5" s="7">
        <f t="shared" ref="G5:G13" si="2">C5-B$2</f>
        <v>27.650000000000006</v>
      </c>
      <c r="H5" s="2">
        <f t="shared" ref="H5:H13" si="3">G5/1000</f>
        <v>2.7650000000000004E-2</v>
      </c>
      <c r="I5" s="2">
        <f t="shared" ref="I5:I13" si="4">LOG10(F5*(10^-4))</f>
        <v>-3.5696339661988064</v>
      </c>
      <c r="J5" s="2">
        <f t="shared" ref="J5:J13" si="5">LOG10(H5)</f>
        <v>-1.5583048643592829</v>
      </c>
      <c r="K5" s="2">
        <f>(F5*(10^-4))/((9.81^0.5)*(H5^2.5))</f>
        <v>0.6765403301424916</v>
      </c>
      <c r="L5" s="43"/>
      <c r="M5" s="39">
        <v>2</v>
      </c>
      <c r="N5" s="2">
        <f>J5</f>
        <v>-1.5583048643592829</v>
      </c>
      <c r="O5" s="2">
        <f>I5</f>
        <v>-3.5696339661988064</v>
      </c>
      <c r="P5" s="2">
        <f t="shared" ref="P5:P12" si="6">N5^2</f>
        <v>2.4283140502858034</v>
      </c>
      <c r="Q5" s="2">
        <f t="shared" ref="Q5:Q13" si="7">N5*O5</f>
        <v>5.5625779735097201</v>
      </c>
      <c r="R5" s="50"/>
      <c r="S5" s="51"/>
      <c r="T5" s="51"/>
      <c r="U5" s="51"/>
      <c r="V5" s="51"/>
      <c r="W5" s="51"/>
      <c r="X5" s="56"/>
      <c r="Y5" s="56"/>
      <c r="Z5" s="49"/>
    </row>
    <row r="6" spans="1:33" x14ac:dyDescent="0.25">
      <c r="A6" s="1">
        <v>12</v>
      </c>
      <c r="B6" s="7">
        <v>35.9</v>
      </c>
      <c r="C6" s="7">
        <v>130.80000000000001</v>
      </c>
      <c r="D6" s="2">
        <f t="shared" si="0"/>
        <v>0.1308</v>
      </c>
      <c r="E6" s="31"/>
      <c r="F6" s="2">
        <f t="shared" si="1"/>
        <v>3.3426183844011144</v>
      </c>
      <c r="G6" s="7">
        <f t="shared" si="2"/>
        <v>31.700000000000017</v>
      </c>
      <c r="H6" s="2">
        <f t="shared" si="3"/>
        <v>3.170000000000002E-2</v>
      </c>
      <c r="I6" s="2">
        <f t="shared" si="4"/>
        <v>-3.4759132025306942</v>
      </c>
      <c r="J6" s="2">
        <f t="shared" si="5"/>
        <v>-1.4989407377822483</v>
      </c>
      <c r="K6" s="2">
        <f>(F6*(10^-4))/((9.81^0.5)*(H6^2.5))</f>
        <v>0.59649133364235474</v>
      </c>
      <c r="L6" s="43"/>
      <c r="M6" s="39">
        <v>3</v>
      </c>
      <c r="N6" s="2">
        <f>J6</f>
        <v>-1.4989407377822483</v>
      </c>
      <c r="O6" s="2">
        <f>I6</f>
        <v>-3.4759132025306942</v>
      </c>
      <c r="P6" s="2">
        <f t="shared" si="6"/>
        <v>2.246823335383191</v>
      </c>
      <c r="Q6" s="2">
        <f t="shared" si="7"/>
        <v>5.2101879002684166</v>
      </c>
      <c r="R6" s="50"/>
      <c r="S6" s="51"/>
      <c r="T6" s="51"/>
      <c r="U6" s="51"/>
      <c r="V6" s="51"/>
      <c r="W6" s="51"/>
      <c r="X6" s="57"/>
      <c r="Y6" s="57"/>
      <c r="Z6" s="49"/>
    </row>
    <row r="7" spans="1:33" x14ac:dyDescent="0.25">
      <c r="A7" s="1">
        <v>15</v>
      </c>
      <c r="B7" s="7">
        <v>35.22</v>
      </c>
      <c r="C7" s="7">
        <v>134.30000000000001</v>
      </c>
      <c r="D7" s="2">
        <f t="shared" si="0"/>
        <v>0.1343</v>
      </c>
      <c r="E7" s="31"/>
      <c r="F7" s="2">
        <f t="shared" si="1"/>
        <v>4.2589437819420786</v>
      </c>
      <c r="G7" s="7">
        <f t="shared" si="2"/>
        <v>35.200000000000017</v>
      </c>
      <c r="H7" s="2">
        <f t="shared" si="3"/>
        <v>3.5200000000000016E-2</v>
      </c>
      <c r="I7" s="2">
        <f t="shared" si="4"/>
        <v>-3.370698092575577</v>
      </c>
      <c r="J7" s="2">
        <f t="shared" si="5"/>
        <v>-1.4534573365218688</v>
      </c>
      <c r="K7" s="2">
        <f>(F7*(10^-4))/((9.81^0.5)*(H7^2.5))</f>
        <v>0.58493922455812764</v>
      </c>
      <c r="L7" s="43"/>
      <c r="M7" s="39">
        <v>4</v>
      </c>
      <c r="N7" s="2">
        <f>J7</f>
        <v>-1.4534573365218688</v>
      </c>
      <c r="O7" s="2">
        <f>I7</f>
        <v>-3.370698092575577</v>
      </c>
      <c r="P7" s="2">
        <f t="shared" si="6"/>
        <v>2.1125382290892452</v>
      </c>
      <c r="Q7" s="2">
        <f t="shared" si="7"/>
        <v>4.8991658718542412</v>
      </c>
      <c r="R7" s="50"/>
      <c r="S7" s="51"/>
      <c r="T7" s="51"/>
      <c r="U7" s="51"/>
      <c r="V7" s="51"/>
      <c r="W7" s="51"/>
      <c r="X7" s="57"/>
      <c r="Y7" s="57"/>
      <c r="Z7" s="49"/>
    </row>
    <row r="8" spans="1:33" x14ac:dyDescent="0.25">
      <c r="A8" s="1">
        <v>15</v>
      </c>
      <c r="B8" s="7">
        <v>30.62</v>
      </c>
      <c r="C8" s="7">
        <v>137.1</v>
      </c>
      <c r="D8" s="2">
        <f t="shared" si="0"/>
        <v>0.1371</v>
      </c>
      <c r="E8" s="31"/>
      <c r="F8" s="2">
        <f t="shared" si="1"/>
        <v>4.8987589810581316</v>
      </c>
      <c r="G8" s="7">
        <f t="shared" si="2"/>
        <v>38</v>
      </c>
      <c r="H8" s="2">
        <f t="shared" si="3"/>
        <v>3.7999999999999999E-2</v>
      </c>
      <c r="I8" s="2">
        <f t="shared" si="4"/>
        <v>-3.3099139273065608</v>
      </c>
      <c r="J8" s="2">
        <f t="shared" si="5"/>
        <v>-1.4202164033831899</v>
      </c>
      <c r="K8" s="2">
        <f>(F8*(10^-4))/((9.81^0.5)*(H8^2.5))</f>
        <v>0.55563881631816059</v>
      </c>
      <c r="L8" s="43"/>
      <c r="M8" s="39">
        <v>5</v>
      </c>
      <c r="N8" s="2">
        <f>J8</f>
        <v>-1.4202164033831899</v>
      </c>
      <c r="O8" s="2">
        <f>I8</f>
        <v>-3.3099139273065608</v>
      </c>
      <c r="P8" s="2">
        <f t="shared" si="6"/>
        <v>2.0170146324386837</v>
      </c>
      <c r="Q8" s="2">
        <f t="shared" si="7"/>
        <v>4.700794053347253</v>
      </c>
      <c r="R8" s="50"/>
      <c r="S8" s="51"/>
      <c r="T8" s="51"/>
      <c r="U8" s="51"/>
      <c r="V8" s="51"/>
      <c r="W8" s="51"/>
      <c r="X8" s="57"/>
      <c r="Y8" s="57"/>
      <c r="Z8" s="49"/>
    </row>
    <row r="9" spans="1:33" x14ac:dyDescent="0.25">
      <c r="A9" s="1">
        <v>21</v>
      </c>
      <c r="B9" s="7">
        <v>32.5</v>
      </c>
      <c r="C9" s="7">
        <v>141.25</v>
      </c>
      <c r="D9" s="2">
        <f t="shared" si="0"/>
        <v>0.14124999999999999</v>
      </c>
      <c r="E9" s="31"/>
      <c r="F9" s="2">
        <f t="shared" si="1"/>
        <v>6.4615384615384617</v>
      </c>
      <c r="G9" s="7">
        <f t="shared" si="2"/>
        <v>42.150000000000006</v>
      </c>
      <c r="H9" s="2">
        <f t="shared" si="3"/>
        <v>4.2150000000000007E-2</v>
      </c>
      <c r="I9" s="2">
        <f t="shared" si="4"/>
        <v>-3.1896640662449549</v>
      </c>
      <c r="J9" s="2">
        <f t="shared" si="5"/>
        <v>-1.3752024210392388</v>
      </c>
      <c r="K9" s="2">
        <f>(F9*(10^-4))/((9.81^0.5)*(H9^2.5))</f>
        <v>0.56559750194964142</v>
      </c>
      <c r="L9" s="43"/>
      <c r="M9" s="39">
        <v>6</v>
      </c>
      <c r="N9" s="2">
        <f>J9</f>
        <v>-1.3752024210392388</v>
      </c>
      <c r="O9" s="2">
        <f>I9</f>
        <v>-3.1896640662449549</v>
      </c>
      <c r="P9" s="2">
        <f t="shared" si="6"/>
        <v>1.8911816988321839</v>
      </c>
      <c r="Q9" s="2">
        <f t="shared" si="7"/>
        <v>4.3864337462019254</v>
      </c>
      <c r="R9" s="50"/>
      <c r="S9" s="51"/>
      <c r="T9" s="51"/>
      <c r="U9" s="51"/>
      <c r="V9" s="51"/>
      <c r="W9" s="51"/>
      <c r="X9" s="57"/>
      <c r="Y9" s="57"/>
      <c r="Z9" s="49"/>
    </row>
    <row r="10" spans="1:33" x14ac:dyDescent="0.25">
      <c r="A10" s="1">
        <v>18</v>
      </c>
      <c r="B10" s="7">
        <v>32</v>
      </c>
      <c r="C10" s="7">
        <v>139</v>
      </c>
      <c r="D10" s="2">
        <f t="shared" si="0"/>
        <v>0.13900000000000001</v>
      </c>
      <c r="E10" s="31"/>
      <c r="F10" s="2">
        <f t="shared" si="1"/>
        <v>5.625</v>
      </c>
      <c r="G10" s="7">
        <f t="shared" si="2"/>
        <v>39.900000000000006</v>
      </c>
      <c r="H10" s="2">
        <f t="shared" si="3"/>
        <v>3.9900000000000005E-2</v>
      </c>
      <c r="I10" s="2">
        <f t="shared" si="4"/>
        <v>-3.2498774732165998</v>
      </c>
      <c r="J10" s="2">
        <f t="shared" si="5"/>
        <v>-1.3990271043132516</v>
      </c>
      <c r="K10" s="2">
        <f>(F10*(10^-4))/((9.81^0.5)*(H10^2.5))</f>
        <v>0.56474940739429236</v>
      </c>
      <c r="L10" s="43"/>
      <c r="M10" s="39">
        <v>7</v>
      </c>
      <c r="N10" s="2">
        <f>J10</f>
        <v>-1.3990271043132516</v>
      </c>
      <c r="O10" s="2">
        <f>I10</f>
        <v>-3.2498774732165998</v>
      </c>
      <c r="P10" s="2">
        <f t="shared" si="6"/>
        <v>1.9572768386031218</v>
      </c>
      <c r="Q10" s="2">
        <f t="shared" si="7"/>
        <v>4.5466666707270864</v>
      </c>
      <c r="R10" s="50"/>
      <c r="S10" s="51"/>
      <c r="T10" s="51"/>
      <c r="U10" s="51"/>
      <c r="V10" s="51"/>
      <c r="W10" s="51"/>
      <c r="X10" s="57"/>
      <c r="Y10" s="57"/>
      <c r="Z10" s="49"/>
    </row>
    <row r="11" spans="1:33" x14ac:dyDescent="0.25">
      <c r="A11" s="1">
        <v>12</v>
      </c>
      <c r="B11" s="7">
        <v>38.9</v>
      </c>
      <c r="C11" s="7">
        <v>128.5</v>
      </c>
      <c r="D11" s="2">
        <f t="shared" si="0"/>
        <v>0.1285</v>
      </c>
      <c r="E11" s="31"/>
      <c r="F11" s="2">
        <f t="shared" si="1"/>
        <v>3.0848329048843186</v>
      </c>
      <c r="G11" s="7">
        <f t="shared" si="2"/>
        <v>29.400000000000006</v>
      </c>
      <c r="H11" s="2">
        <f t="shared" si="3"/>
        <v>2.9400000000000006E-2</v>
      </c>
      <c r="I11" s="2">
        <f t="shared" si="4"/>
        <v>-3.5107683552780831</v>
      </c>
      <c r="J11" s="2">
        <f t="shared" si="5"/>
        <v>-1.5316526695878425</v>
      </c>
      <c r="K11" s="2">
        <f>(F11*(10^-4))/((9.81^0.5)*(H11^2.5))</f>
        <v>0.66455176378540881</v>
      </c>
      <c r="L11" s="43"/>
      <c r="M11" s="39">
        <v>8</v>
      </c>
      <c r="N11" s="2">
        <f>J11</f>
        <v>-1.5316526695878425</v>
      </c>
      <c r="O11" s="2">
        <f>I11</f>
        <v>-3.5107683552780831</v>
      </c>
      <c r="P11" s="2">
        <f t="shared" si="6"/>
        <v>2.3459599002555649</v>
      </c>
      <c r="Q11" s="2">
        <f t="shared" si="7"/>
        <v>5.3772777236661948</v>
      </c>
      <c r="R11" s="50"/>
      <c r="S11" s="51"/>
      <c r="T11" s="51"/>
      <c r="U11" s="51"/>
      <c r="V11" s="51"/>
      <c r="W11" s="51"/>
      <c r="X11" s="57"/>
      <c r="Y11" s="57"/>
      <c r="Z11" s="49"/>
    </row>
    <row r="12" spans="1:33" x14ac:dyDescent="0.25">
      <c r="A12" s="1">
        <v>9</v>
      </c>
      <c r="B12" s="7">
        <v>36.4</v>
      </c>
      <c r="C12" s="7">
        <v>126</v>
      </c>
      <c r="D12" s="2">
        <f t="shared" si="0"/>
        <v>0.126</v>
      </c>
      <c r="E12" s="31"/>
      <c r="F12" s="2">
        <f t="shared" si="1"/>
        <v>2.4725274725274726</v>
      </c>
      <c r="G12" s="7">
        <f t="shared" si="2"/>
        <v>26.900000000000006</v>
      </c>
      <c r="H12" s="2">
        <f t="shared" si="3"/>
        <v>2.6900000000000007E-2</v>
      </c>
      <c r="I12" s="2">
        <f t="shared" si="4"/>
        <v>-3.6068588742097312</v>
      </c>
      <c r="J12" s="2">
        <f t="shared" si="5"/>
        <v>-1.5702477199975919</v>
      </c>
      <c r="K12" s="2">
        <f>(F12*(10^-4))/((9.81^0.5)*(H12^2.5))</f>
        <v>0.6651596897834382</v>
      </c>
      <c r="L12" s="43"/>
      <c r="M12" s="39">
        <v>9</v>
      </c>
      <c r="N12" s="2">
        <f>J12</f>
        <v>-1.5702477199975919</v>
      </c>
      <c r="O12" s="2">
        <f>I12</f>
        <v>-3.6068588742097312</v>
      </c>
      <c r="P12" s="2">
        <f t="shared" si="6"/>
        <v>2.465677902157636</v>
      </c>
      <c r="Q12" s="2">
        <f t="shared" si="7"/>
        <v>5.6636619235809116</v>
      </c>
      <c r="R12" s="50"/>
      <c r="S12" s="51"/>
      <c r="T12" s="51"/>
      <c r="U12" s="51"/>
      <c r="V12" s="51"/>
      <c r="W12" s="51"/>
      <c r="X12" s="57"/>
      <c r="Y12" s="57"/>
      <c r="Z12" s="49"/>
    </row>
    <row r="13" spans="1:33" x14ac:dyDescent="0.25">
      <c r="A13" s="1">
        <v>6</v>
      </c>
      <c r="B13" s="7">
        <v>38.020000000000003</v>
      </c>
      <c r="C13" s="7">
        <v>120</v>
      </c>
      <c r="D13" s="2">
        <f t="shared" si="0"/>
        <v>0.12</v>
      </c>
      <c r="E13" s="32"/>
      <c r="F13" s="2">
        <f t="shared" si="1"/>
        <v>1.5781167806417673</v>
      </c>
      <c r="G13" s="7">
        <f t="shared" si="2"/>
        <v>20.900000000000006</v>
      </c>
      <c r="H13" s="2">
        <f t="shared" si="3"/>
        <v>2.0900000000000005E-2</v>
      </c>
      <c r="I13" s="2">
        <f t="shared" si="4"/>
        <v>-3.8018608621457806</v>
      </c>
      <c r="J13" s="2">
        <f t="shared" si="5"/>
        <v>-1.6798537138889458</v>
      </c>
      <c r="K13" s="2">
        <f>(F13*(10^-4))/((9.81^0.5)*(H13^2.5))</f>
        <v>0.79788246162732246</v>
      </c>
      <c r="L13" s="44"/>
      <c r="M13" s="39">
        <v>10</v>
      </c>
      <c r="N13" s="2">
        <f>J13</f>
        <v>-1.6798537138889458</v>
      </c>
      <c r="O13" s="2">
        <f>I13</f>
        <v>-3.8018608621457806</v>
      </c>
      <c r="P13" s="2">
        <f>N13^2</f>
        <v>2.8219085000664843</v>
      </c>
      <c r="Q13" s="2">
        <f t="shared" si="7"/>
        <v>6.3865700889646186</v>
      </c>
      <c r="R13" s="50"/>
      <c r="S13" s="51"/>
      <c r="T13" s="51"/>
      <c r="U13" s="51"/>
      <c r="V13" s="51"/>
      <c r="W13" s="51"/>
      <c r="X13" s="57"/>
      <c r="Y13" s="57"/>
      <c r="Z13" s="49"/>
    </row>
    <row r="14" spans="1:33" x14ac:dyDescent="0.25">
      <c r="A14" s="34"/>
      <c r="B14" s="35"/>
      <c r="C14" s="35"/>
      <c r="D14" s="35"/>
      <c r="E14" s="35"/>
      <c r="F14" s="35"/>
      <c r="G14" s="35"/>
      <c r="H14" s="35"/>
      <c r="I14" s="36"/>
      <c r="J14" s="1" t="s">
        <v>30</v>
      </c>
      <c r="K14" s="2">
        <f>AVERAGE(K4:K13)</f>
        <v>0.63582601713142695</v>
      </c>
      <c r="L14" s="45"/>
      <c r="M14" s="40" t="s">
        <v>41</v>
      </c>
      <c r="N14" s="41">
        <f>SUM(N4:N13)</f>
        <v>-15.103087604893028</v>
      </c>
      <c r="O14" s="41">
        <f t="shared" ref="O14:Q14" si="8">SUM(O4:O13)</f>
        <v>-34.793042755685391</v>
      </c>
      <c r="P14" s="41">
        <f t="shared" si="8"/>
        <v>22.898747858352884</v>
      </c>
      <c r="Q14" s="41">
        <f t="shared" si="8"/>
        <v>52.725912508637954</v>
      </c>
      <c r="R14" s="50"/>
      <c r="S14" s="51"/>
      <c r="T14" s="51"/>
      <c r="U14" s="51"/>
      <c r="V14" s="51"/>
      <c r="W14" s="51"/>
      <c r="X14" s="57"/>
      <c r="Y14" s="57"/>
      <c r="Z14" s="49"/>
    </row>
    <row r="15" spans="1:33" x14ac:dyDescent="0.25">
      <c r="A15" s="52"/>
      <c r="B15" s="52"/>
      <c r="C15" s="5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7"/>
      <c r="Y15" s="57"/>
      <c r="Z15" s="49"/>
    </row>
    <row r="16" spans="1:33" x14ac:dyDescent="0.25">
      <c r="A16" s="26" t="s">
        <v>13</v>
      </c>
      <c r="B16" s="18" t="s">
        <v>2</v>
      </c>
      <c r="C16" s="28"/>
      <c r="D16" s="20"/>
      <c r="E16" s="20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7"/>
      <c r="Y16" s="57"/>
      <c r="Z16" s="49"/>
    </row>
    <row r="17" spans="1:26" x14ac:dyDescent="0.25">
      <c r="A17" s="27"/>
      <c r="B17" s="17">
        <v>69.599999999999994</v>
      </c>
      <c r="C17" s="29"/>
      <c r="D17" s="21"/>
      <c r="E17" s="21"/>
      <c r="F17" s="33" t="s">
        <v>6</v>
      </c>
      <c r="G17" s="37" t="s">
        <v>7</v>
      </c>
      <c r="H17" s="37"/>
      <c r="I17" s="33" t="s">
        <v>10</v>
      </c>
      <c r="J17" s="33" t="s">
        <v>11</v>
      </c>
      <c r="K17" s="33" t="s">
        <v>27</v>
      </c>
      <c r="L17" s="42"/>
      <c r="M17" s="54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8"/>
      <c r="Y17" s="58"/>
      <c r="Z17" s="49"/>
    </row>
    <row r="18" spans="1:26" x14ac:dyDescent="0.25">
      <c r="A18" s="10" t="s">
        <v>3</v>
      </c>
      <c r="B18" s="10" t="s">
        <v>0</v>
      </c>
      <c r="C18" s="10" t="s">
        <v>4</v>
      </c>
      <c r="D18" s="10" t="s">
        <v>5</v>
      </c>
      <c r="E18" s="30"/>
      <c r="F18" s="33"/>
      <c r="G18" s="11" t="s">
        <v>8</v>
      </c>
      <c r="H18" s="11" t="s">
        <v>9</v>
      </c>
      <c r="I18" s="33"/>
      <c r="J18" s="33"/>
      <c r="K18" s="33"/>
      <c r="L18" s="12"/>
      <c r="M18" s="13" t="s">
        <v>42</v>
      </c>
      <c r="N18" s="13" t="s">
        <v>14</v>
      </c>
      <c r="O18" s="13" t="s">
        <v>15</v>
      </c>
      <c r="P18" s="13" t="s">
        <v>16</v>
      </c>
      <c r="Q18" s="13" t="s">
        <v>17</v>
      </c>
      <c r="R18" s="13" t="s">
        <v>18</v>
      </c>
      <c r="S18" s="13" t="s">
        <v>19</v>
      </c>
      <c r="T18" s="13" t="s">
        <v>20</v>
      </c>
      <c r="U18" s="13" t="s">
        <v>21</v>
      </c>
      <c r="V18" s="14" t="s">
        <v>22</v>
      </c>
      <c r="W18" s="13" t="s">
        <v>23</v>
      </c>
      <c r="X18" s="13" t="s">
        <v>25</v>
      </c>
      <c r="Y18" s="13" t="s">
        <v>26</v>
      </c>
      <c r="Z18" s="60" t="s">
        <v>43</v>
      </c>
    </row>
    <row r="19" spans="1:26" x14ac:dyDescent="0.25">
      <c r="A19" s="1">
        <v>21</v>
      </c>
      <c r="B19" s="7">
        <v>33.03</v>
      </c>
      <c r="C19" s="7">
        <v>118.7</v>
      </c>
      <c r="D19" s="2">
        <f>C19/1000</f>
        <v>0.1187</v>
      </c>
      <c r="E19" s="31"/>
      <c r="F19" s="2">
        <f>(A19/B19)*10</f>
        <v>6.3578564940962758</v>
      </c>
      <c r="G19" s="7">
        <f>C19-B$17</f>
        <v>49.100000000000009</v>
      </c>
      <c r="H19" s="2">
        <f>G19/1000</f>
        <v>4.9100000000000012E-2</v>
      </c>
      <c r="I19" s="2">
        <f>LOG10(F19*10^-4)</f>
        <v>-3.196689278957495</v>
      </c>
      <c r="J19" s="2">
        <f>LOG10(H19)</f>
        <v>-1.3089185078770313</v>
      </c>
      <c r="K19" s="8">
        <f>(F19*(10^-4))/((9.81^(1/2))*(H19^(3/2)))</f>
        <v>1.8657522720766123E-2</v>
      </c>
      <c r="L19" s="46"/>
      <c r="M19" s="39">
        <v>1</v>
      </c>
      <c r="N19" s="2">
        <f>J19</f>
        <v>-1.3089185078770313</v>
      </c>
      <c r="O19" s="2">
        <f>I19</f>
        <v>-3.196689278957495</v>
      </c>
      <c r="P19" s="2">
        <f>N19^2</f>
        <v>1.7132676602630341</v>
      </c>
      <c r="Q19" s="2">
        <f>N19*O19</f>
        <v>4.1842057611595473</v>
      </c>
      <c r="R19" s="2">
        <f>(SUM(N19:N28))/10</f>
        <v>-1.4011787422956004</v>
      </c>
      <c r="S19" s="2">
        <f>(SUM(O19:O28))/10</f>
        <v>-3.3322853614059467</v>
      </c>
      <c r="T19" s="2">
        <f>SUM(Q19:Q28)</f>
        <v>46.941005528531207</v>
      </c>
      <c r="U19" s="2">
        <f>SUM(P19:P28)</f>
        <v>19.793072091169016</v>
      </c>
      <c r="V19" s="2">
        <f>R19^2</f>
        <v>1.9633018678610805</v>
      </c>
      <c r="W19" s="8">
        <f>((T19/10)-(R19*S19))/((U19/10)-V19)</f>
        <v>1.5603004515266661</v>
      </c>
      <c r="X19" s="8">
        <f>S19-(W19*R19)</f>
        <v>-1.1460255371325552</v>
      </c>
      <c r="Y19" s="9">
        <f>10^X19</f>
        <v>7.1445431391162648E-2</v>
      </c>
      <c r="Z19" s="59"/>
    </row>
    <row r="20" spans="1:26" x14ac:dyDescent="0.25">
      <c r="A20" s="1">
        <v>21</v>
      </c>
      <c r="B20" s="7">
        <v>30.53</v>
      </c>
      <c r="C20" s="7">
        <v>120.75</v>
      </c>
      <c r="D20" s="2">
        <f t="shared" ref="D20:D28" si="9">C20/1000</f>
        <v>0.12075</v>
      </c>
      <c r="E20" s="31"/>
      <c r="F20" s="2">
        <f t="shared" ref="F20:F28" si="10">(A20/B20)*10</f>
        <v>6.878480183426138</v>
      </c>
      <c r="G20" s="7">
        <f t="shared" ref="G20:G28" si="11">C20-B$17</f>
        <v>51.150000000000006</v>
      </c>
      <c r="H20" s="2">
        <f t="shared" ref="H20:H28" si="12">G20/1000</f>
        <v>5.1150000000000008E-2</v>
      </c>
      <c r="I20" s="2">
        <f t="shared" ref="I20:I28" si="13">LOG10(F20*10^-4)</f>
        <v>-3.1625075095647426</v>
      </c>
      <c r="J20" s="2">
        <f t="shared" ref="J20:J28" si="14">LOG10(H20)</f>
        <v>-1.2911543619518209</v>
      </c>
      <c r="K20" s="8">
        <f>(F20*(10^-4))/((9.81^(1/2))*(H20^(3/2)))</f>
        <v>1.898407887737948E-2</v>
      </c>
      <c r="L20" s="46"/>
      <c r="M20" s="39">
        <v>2</v>
      </c>
      <c r="N20" s="2">
        <f>J20</f>
        <v>-1.2911543619518209</v>
      </c>
      <c r="O20" s="2">
        <f>I20</f>
        <v>-3.1625075095647426</v>
      </c>
      <c r="P20" s="2">
        <f t="shared" ref="P20:P27" si="15">N20^2</f>
        <v>1.6670795863872137</v>
      </c>
      <c r="Q20" s="2">
        <f t="shared" ref="Q20:Q28" si="16">N20*O20</f>
        <v>4.0832853656799069</v>
      </c>
      <c r="R20" s="50"/>
      <c r="S20" s="51"/>
      <c r="T20" s="51"/>
      <c r="U20" s="51"/>
      <c r="V20" s="51"/>
      <c r="W20" s="51"/>
      <c r="X20" s="53"/>
      <c r="Y20" s="53"/>
      <c r="Z20" s="49"/>
    </row>
    <row r="21" spans="1:26" x14ac:dyDescent="0.25">
      <c r="A21" s="1">
        <v>24</v>
      </c>
      <c r="B21" s="7">
        <v>34.81</v>
      </c>
      <c r="C21" s="7">
        <v>120.85</v>
      </c>
      <c r="D21" s="2">
        <f t="shared" si="9"/>
        <v>0.12085</v>
      </c>
      <c r="E21" s="31"/>
      <c r="F21" s="2">
        <f t="shared" si="10"/>
        <v>6.8945705257110026</v>
      </c>
      <c r="G21" s="7">
        <f t="shared" si="11"/>
        <v>51.25</v>
      </c>
      <c r="H21" s="2">
        <f t="shared" si="12"/>
        <v>5.1249999999999997E-2</v>
      </c>
      <c r="I21" s="2">
        <f t="shared" si="13"/>
        <v>-3.1614927815726821</v>
      </c>
      <c r="J21" s="2">
        <f t="shared" si="14"/>
        <v>-1.2903061302722081</v>
      </c>
      <c r="K21" s="8">
        <f>(F21*(10^-4))/((9.81^(1/2))*(H21^(3/2)))</f>
        <v>1.8972821034215496E-2</v>
      </c>
      <c r="L21" s="46"/>
      <c r="M21" s="39">
        <v>3</v>
      </c>
      <c r="N21" s="2">
        <f>J21</f>
        <v>-1.2903061302722081</v>
      </c>
      <c r="O21" s="2">
        <f>I21</f>
        <v>-3.1614927815726821</v>
      </c>
      <c r="P21" s="2">
        <f t="shared" si="15"/>
        <v>1.6648899098180405</v>
      </c>
      <c r="Q21" s="2">
        <f t="shared" si="16"/>
        <v>4.079293516874567</v>
      </c>
      <c r="R21" s="50"/>
      <c r="S21" s="51"/>
      <c r="T21" s="51"/>
      <c r="U21" s="51"/>
      <c r="V21" s="51"/>
      <c r="W21" s="51"/>
      <c r="X21" s="52"/>
      <c r="Y21" s="52"/>
      <c r="Z21" s="49"/>
    </row>
    <row r="22" spans="1:26" x14ac:dyDescent="0.25">
      <c r="A22" s="1">
        <v>6</v>
      </c>
      <c r="B22" s="7">
        <v>36.25</v>
      </c>
      <c r="C22" s="7">
        <v>90.05</v>
      </c>
      <c r="D22" s="2">
        <f t="shared" si="9"/>
        <v>9.0049999999999991E-2</v>
      </c>
      <c r="E22" s="31"/>
      <c r="F22" s="2">
        <f t="shared" si="10"/>
        <v>1.6551724137931034</v>
      </c>
      <c r="G22" s="7">
        <f t="shared" si="11"/>
        <v>20.450000000000003</v>
      </c>
      <c r="H22" s="2">
        <f t="shared" si="12"/>
        <v>2.0450000000000003E-2</v>
      </c>
      <c r="I22" s="2">
        <f t="shared" si="13"/>
        <v>-3.7811567605233689</v>
      </c>
      <c r="J22" s="2">
        <f t="shared" si="14"/>
        <v>-1.6893066876566394</v>
      </c>
      <c r="K22" s="8">
        <f>(F22*(10^-4))/((9.81^(1/2))*(H22^(3/2)))</f>
        <v>1.8070441659229126E-2</v>
      </c>
      <c r="L22" s="46"/>
      <c r="M22" s="39">
        <v>4</v>
      </c>
      <c r="N22" s="2">
        <f>J22</f>
        <v>-1.6893066876566394</v>
      </c>
      <c r="O22" s="2">
        <f>I22</f>
        <v>-3.7811567605233689</v>
      </c>
      <c r="P22" s="2">
        <f t="shared" si="15"/>
        <v>2.8537570849614466</v>
      </c>
      <c r="Q22" s="2">
        <f t="shared" si="16"/>
        <v>6.3875334026302415</v>
      </c>
      <c r="R22" s="50"/>
      <c r="S22" s="51"/>
      <c r="T22" s="51"/>
      <c r="U22" s="51"/>
      <c r="V22" s="51"/>
      <c r="W22" s="51"/>
      <c r="X22" s="52"/>
      <c r="Y22" s="52"/>
      <c r="Z22" s="49"/>
    </row>
    <row r="23" spans="1:26" x14ac:dyDescent="0.25">
      <c r="A23" s="1">
        <v>12</v>
      </c>
      <c r="B23" s="7">
        <v>43.6</v>
      </c>
      <c r="C23" s="7">
        <v>98.1</v>
      </c>
      <c r="D23" s="2">
        <f t="shared" si="9"/>
        <v>9.8099999999999993E-2</v>
      </c>
      <c r="E23" s="31"/>
      <c r="F23" s="2">
        <f t="shared" si="10"/>
        <v>2.7522935779816518</v>
      </c>
      <c r="G23" s="7">
        <f t="shared" si="11"/>
        <v>28.5</v>
      </c>
      <c r="H23" s="2">
        <f t="shared" si="12"/>
        <v>2.8500000000000001E-2</v>
      </c>
      <c r="I23" s="2">
        <f t="shared" si="13"/>
        <v>-3.5603052432209612</v>
      </c>
      <c r="J23" s="2">
        <f t="shared" si="14"/>
        <v>-1.5451551399914898</v>
      </c>
      <c r="K23" s="8">
        <f>(F23*(10^-4))/((9.81^(1/2))*(H23^(3/2)))</f>
        <v>1.8263876553642665E-2</v>
      </c>
      <c r="L23" s="46"/>
      <c r="M23" s="39">
        <v>5</v>
      </c>
      <c r="N23" s="2">
        <f>J23</f>
        <v>-1.5451551399914898</v>
      </c>
      <c r="O23" s="2">
        <f>I23</f>
        <v>-3.5603052432209612</v>
      </c>
      <c r="P23" s="2">
        <f t="shared" si="15"/>
        <v>2.3875044066421203</v>
      </c>
      <c r="Q23" s="2">
        <f t="shared" si="16"/>
        <v>5.5012239465015194</v>
      </c>
      <c r="R23" s="50"/>
      <c r="S23" s="51"/>
      <c r="T23" s="51"/>
      <c r="U23" s="51"/>
      <c r="V23" s="51"/>
      <c r="W23" s="51"/>
      <c r="X23" s="52"/>
      <c r="Y23" s="52"/>
      <c r="Z23" s="49"/>
    </row>
    <row r="24" spans="1:26" x14ac:dyDescent="0.25">
      <c r="A24" s="1">
        <v>12</v>
      </c>
      <c r="B24" s="7">
        <v>33.69</v>
      </c>
      <c r="C24" s="7">
        <v>103.1</v>
      </c>
      <c r="D24" s="2">
        <f t="shared" si="9"/>
        <v>0.1031</v>
      </c>
      <c r="E24" s="31"/>
      <c r="F24" s="2">
        <f t="shared" si="10"/>
        <v>3.5618878005342838</v>
      </c>
      <c r="G24" s="7">
        <f t="shared" si="11"/>
        <v>33.5</v>
      </c>
      <c r="H24" s="2">
        <f t="shared" si="12"/>
        <v>3.3500000000000002E-2</v>
      </c>
      <c r="I24" s="2">
        <f t="shared" si="13"/>
        <v>-3.4483197649334953</v>
      </c>
      <c r="J24" s="2">
        <f t="shared" si="14"/>
        <v>-1.4749551929631548</v>
      </c>
      <c r="K24" s="8">
        <f>(F24*(10^-4))/((9.81^(1/2))*(H24^(3/2)))</f>
        <v>1.854720707656422E-2</v>
      </c>
      <c r="L24" s="46"/>
      <c r="M24" s="39">
        <v>6</v>
      </c>
      <c r="N24" s="2">
        <f>J24</f>
        <v>-1.4749551929631548</v>
      </c>
      <c r="O24" s="2">
        <f>I24</f>
        <v>-3.4483197649334953</v>
      </c>
      <c r="P24" s="2">
        <f t="shared" si="15"/>
        <v>2.175492821248977</v>
      </c>
      <c r="Q24" s="2">
        <f t="shared" si="16"/>
        <v>5.0861171442861446</v>
      </c>
      <c r="R24" s="50"/>
      <c r="S24" s="51"/>
      <c r="T24" s="51"/>
      <c r="U24" s="51"/>
      <c r="V24" s="51"/>
      <c r="W24" s="51"/>
      <c r="X24" s="52"/>
      <c r="Y24" s="52"/>
      <c r="Z24" s="49"/>
    </row>
    <row r="25" spans="1:26" x14ac:dyDescent="0.25">
      <c r="A25" s="1">
        <v>15</v>
      </c>
      <c r="B25" s="7">
        <v>34.85</v>
      </c>
      <c r="C25" s="7">
        <v>107.35</v>
      </c>
      <c r="D25" s="2">
        <f t="shared" si="9"/>
        <v>0.10735</v>
      </c>
      <c r="E25" s="31"/>
      <c r="F25" s="2">
        <f t="shared" si="10"/>
        <v>4.3041606886657107</v>
      </c>
      <c r="G25" s="7">
        <f t="shared" si="11"/>
        <v>37.75</v>
      </c>
      <c r="H25" s="2">
        <f t="shared" si="12"/>
        <v>3.7749999999999999E-2</v>
      </c>
      <c r="I25" s="2">
        <f t="shared" si="13"/>
        <v>-3.366111523378347</v>
      </c>
      <c r="J25" s="2">
        <f t="shared" si="14"/>
        <v>-1.423083044034793</v>
      </c>
      <c r="K25" s="8">
        <f>(F25*(10^-4))/((9.81^(1/2))*(H25^(3/2)))</f>
        <v>1.8736071668753306E-2</v>
      </c>
      <c r="L25" s="46"/>
      <c r="M25" s="39">
        <v>7</v>
      </c>
      <c r="N25" s="2">
        <f>J25</f>
        <v>-1.423083044034793</v>
      </c>
      <c r="O25" s="2">
        <f>I25</f>
        <v>-3.366111523378347</v>
      </c>
      <c r="P25" s="2">
        <f t="shared" si="15"/>
        <v>2.0251653502193325</v>
      </c>
      <c r="Q25" s="2">
        <f t="shared" si="16"/>
        <v>4.7902562332498526</v>
      </c>
      <c r="R25" s="50"/>
      <c r="S25" s="51"/>
      <c r="T25" s="51"/>
      <c r="U25" s="51"/>
      <c r="V25" s="51"/>
      <c r="W25" s="51"/>
      <c r="X25" s="52"/>
      <c r="Y25" s="52"/>
      <c r="Z25" s="49"/>
    </row>
    <row r="26" spans="1:26" x14ac:dyDescent="0.25">
      <c r="A26" s="1">
        <v>18</v>
      </c>
      <c r="B26" s="7">
        <v>33.31</v>
      </c>
      <c r="C26" s="7">
        <v>112.85</v>
      </c>
      <c r="D26" s="2">
        <f t="shared" si="9"/>
        <v>0.11284999999999999</v>
      </c>
      <c r="E26" s="31"/>
      <c r="F26" s="2">
        <f t="shared" si="10"/>
        <v>5.4037826478534967</v>
      </c>
      <c r="G26" s="7">
        <f t="shared" si="11"/>
        <v>43.25</v>
      </c>
      <c r="H26" s="2">
        <f t="shared" si="12"/>
        <v>4.3249999999999997E-2</v>
      </c>
      <c r="I26" s="2">
        <f t="shared" si="13"/>
        <v>-3.2673021275878709</v>
      </c>
      <c r="J26" s="2">
        <f t="shared" si="14"/>
        <v>-1.364013888199167</v>
      </c>
      <c r="K26" s="8">
        <f>(F26*(10^-4))/((9.81^(1/2))*(H26^(3/2)))</f>
        <v>1.9181572207855317E-2</v>
      </c>
      <c r="L26" s="46"/>
      <c r="M26" s="39">
        <v>8</v>
      </c>
      <c r="N26" s="2">
        <f>J26</f>
        <v>-1.364013888199167</v>
      </c>
      <c r="O26" s="2">
        <f>I26</f>
        <v>-3.2673021275878709</v>
      </c>
      <c r="P26" s="2">
        <f t="shared" si="15"/>
        <v>1.8605338872002097</v>
      </c>
      <c r="Q26" s="2">
        <f t="shared" si="16"/>
        <v>4.4566454789725425</v>
      </c>
      <c r="R26" s="50"/>
      <c r="S26" s="51"/>
      <c r="T26" s="51"/>
      <c r="U26" s="51"/>
      <c r="V26" s="51"/>
      <c r="W26" s="51"/>
      <c r="X26" s="52"/>
      <c r="Y26" s="52"/>
      <c r="Z26" s="49"/>
    </row>
    <row r="27" spans="1:26" x14ac:dyDescent="0.25">
      <c r="A27" s="1">
        <v>21</v>
      </c>
      <c r="B27" s="7">
        <v>33.6</v>
      </c>
      <c r="C27" s="7">
        <v>116.85</v>
      </c>
      <c r="D27" s="2">
        <f t="shared" si="9"/>
        <v>0.11685</v>
      </c>
      <c r="E27" s="31"/>
      <c r="F27" s="2">
        <f t="shared" si="10"/>
        <v>6.25</v>
      </c>
      <c r="G27" s="7">
        <f t="shared" si="11"/>
        <v>47.25</v>
      </c>
      <c r="H27" s="2">
        <f t="shared" si="12"/>
        <v>4.725E-2</v>
      </c>
      <c r="I27" s="2">
        <f t="shared" si="13"/>
        <v>-3.2041199826559246</v>
      </c>
      <c r="J27" s="2">
        <f t="shared" si="14"/>
        <v>-1.3255981871547182</v>
      </c>
      <c r="K27" s="8">
        <f>(F27*(10^-4))/((9.81^(1/2))*(H27^(3/2)))</f>
        <v>1.9428657591532728E-2</v>
      </c>
      <c r="L27" s="46"/>
      <c r="M27" s="39">
        <v>9</v>
      </c>
      <c r="N27" s="2">
        <f>J27</f>
        <v>-1.3255981871547182</v>
      </c>
      <c r="O27" s="2">
        <f>I27</f>
        <v>-3.2041199826559246</v>
      </c>
      <c r="P27" s="2">
        <f t="shared" si="15"/>
        <v>1.7572105537878753</v>
      </c>
      <c r="Q27" s="2">
        <f t="shared" si="16"/>
        <v>4.2473756404349006</v>
      </c>
      <c r="R27" s="50"/>
      <c r="S27" s="51"/>
      <c r="T27" s="51"/>
      <c r="U27" s="51"/>
      <c r="V27" s="51"/>
      <c r="W27" s="51"/>
      <c r="X27" s="52"/>
      <c r="Y27" s="52"/>
      <c r="Z27" s="49"/>
    </row>
    <row r="28" spans="1:26" x14ac:dyDescent="0.25">
      <c r="A28" s="1">
        <v>21</v>
      </c>
      <c r="B28" s="7">
        <v>31.41</v>
      </c>
      <c r="C28" s="7">
        <v>119.8</v>
      </c>
      <c r="D28" s="2">
        <f t="shared" si="9"/>
        <v>0.1198</v>
      </c>
      <c r="E28" s="32"/>
      <c r="F28" s="2">
        <f t="shared" si="10"/>
        <v>6.6857688634192938</v>
      </c>
      <c r="G28" s="7">
        <f t="shared" si="11"/>
        <v>50.2</v>
      </c>
      <c r="H28" s="2">
        <f t="shared" si="12"/>
        <v>5.0200000000000002E-2</v>
      </c>
      <c r="I28" s="2">
        <f t="shared" si="13"/>
        <v>-3.1748486416645854</v>
      </c>
      <c r="J28" s="2">
        <f t="shared" si="14"/>
        <v>-1.2992962828549806</v>
      </c>
      <c r="K28" s="8">
        <f>(F28*(10^-4))/((9.81^(1/2))*(H28^(3/2)))</f>
        <v>1.8978473549885907E-2</v>
      </c>
      <c r="L28" s="47"/>
      <c r="M28" s="39">
        <v>10</v>
      </c>
      <c r="N28" s="2">
        <f>J28</f>
        <v>-1.2992962828549806</v>
      </c>
      <c r="O28" s="2">
        <f>I28</f>
        <v>-3.1748486416645854</v>
      </c>
      <c r="P28" s="2">
        <f>N28^2</f>
        <v>1.6881708306407697</v>
      </c>
      <c r="Q28" s="2">
        <f t="shared" si="16"/>
        <v>4.1250690387419802</v>
      </c>
      <c r="R28" s="50"/>
      <c r="S28" s="51"/>
      <c r="T28" s="51"/>
      <c r="U28" s="51"/>
      <c r="V28" s="51"/>
      <c r="W28" s="51"/>
      <c r="X28" s="52"/>
      <c r="Y28" s="52"/>
      <c r="Z28" s="49"/>
    </row>
    <row r="29" spans="1:26" x14ac:dyDescent="0.25">
      <c r="A29" s="34"/>
      <c r="B29" s="35"/>
      <c r="C29" s="35"/>
      <c r="D29" s="35"/>
      <c r="E29" s="35"/>
      <c r="F29" s="35"/>
      <c r="G29" s="35"/>
      <c r="H29" s="35"/>
      <c r="I29" s="36"/>
      <c r="J29" s="1" t="s">
        <v>30</v>
      </c>
      <c r="K29" s="8">
        <f>AVERAGE(K19:K28)</f>
        <v>1.8782072293982439E-2</v>
      </c>
      <c r="L29" s="48"/>
      <c r="M29" s="40" t="s">
        <v>41</v>
      </c>
      <c r="N29" s="41">
        <f>SUM(N19:N28)</f>
        <v>-14.011787422956004</v>
      </c>
      <c r="O29" s="41">
        <f t="shared" ref="O29:Q29" si="17">SUM(O19:O28)</f>
        <v>-33.322853614059468</v>
      </c>
      <c r="P29" s="41">
        <f t="shared" si="17"/>
        <v>19.793072091169016</v>
      </c>
      <c r="Q29" s="41">
        <f t="shared" si="17"/>
        <v>46.941005528531207</v>
      </c>
      <c r="R29" s="50"/>
      <c r="S29" s="51"/>
      <c r="T29" s="51"/>
      <c r="U29" s="51"/>
      <c r="V29" s="51"/>
      <c r="W29" s="51"/>
      <c r="X29" s="52"/>
      <c r="Y29" s="52"/>
      <c r="Z29" s="49"/>
    </row>
    <row r="32" spans="1:26" x14ac:dyDescent="0.25">
      <c r="O32" s="19" t="s">
        <v>40</v>
      </c>
    </row>
    <row r="33" spans="15:18" x14ac:dyDescent="0.25">
      <c r="O33" s="22" t="s">
        <v>31</v>
      </c>
      <c r="P33" s="3" t="s">
        <v>33</v>
      </c>
      <c r="Q33" s="5" t="s">
        <v>34</v>
      </c>
      <c r="R33" s="5" t="s">
        <v>37</v>
      </c>
    </row>
    <row r="34" spans="15:18" x14ac:dyDescent="0.25">
      <c r="O34" s="23"/>
      <c r="P34" s="6" t="s">
        <v>38</v>
      </c>
      <c r="Q34" s="4">
        <f>K14</f>
        <v>0.63582601713142695</v>
      </c>
      <c r="R34" s="4">
        <f>0.636/0.7542</f>
        <v>0.84327764518695314</v>
      </c>
    </row>
    <row r="35" spans="15:18" x14ac:dyDescent="0.25">
      <c r="O35" s="22" t="s">
        <v>32</v>
      </c>
      <c r="P35" s="3" t="s">
        <v>35</v>
      </c>
      <c r="Q35" s="5" t="s">
        <v>36</v>
      </c>
      <c r="R35" s="5" t="s">
        <v>37</v>
      </c>
    </row>
    <row r="36" spans="15:18" x14ac:dyDescent="0.25">
      <c r="O36" s="23"/>
      <c r="P36" s="6" t="s">
        <v>39</v>
      </c>
      <c r="Q36" s="38">
        <f>K29</f>
        <v>1.8782072293982439E-2</v>
      </c>
      <c r="R36" s="4">
        <f>Q36/0.028756</f>
        <v>0.65315316087016406</v>
      </c>
    </row>
  </sheetData>
  <mergeCells count="23">
    <mergeCell ref="J2:J3"/>
    <mergeCell ref="K2:K3"/>
    <mergeCell ref="A29:I29"/>
    <mergeCell ref="E18:E28"/>
    <mergeCell ref="E3:E13"/>
    <mergeCell ref="I17:I18"/>
    <mergeCell ref="J17:J18"/>
    <mergeCell ref="K17:K18"/>
    <mergeCell ref="G2:H2"/>
    <mergeCell ref="G17:H17"/>
    <mergeCell ref="A14:I14"/>
    <mergeCell ref="F17:F18"/>
    <mergeCell ref="F2:F3"/>
    <mergeCell ref="A1:A2"/>
    <mergeCell ref="A16:A17"/>
    <mergeCell ref="C16:E17"/>
    <mergeCell ref="C1:E2"/>
    <mergeCell ref="F1:W1"/>
    <mergeCell ref="M2:W2"/>
    <mergeCell ref="I2:I3"/>
    <mergeCell ref="X1:Y2"/>
    <mergeCell ref="O33:O34"/>
    <mergeCell ref="O35:O3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0CFBC-F7CE-47EF-84FD-3DFCEA44E20B}">
  <dimension ref="C4:J39"/>
  <sheetViews>
    <sheetView workbookViewId="0">
      <selection activeCell="H35" sqref="H35"/>
    </sheetView>
  </sheetViews>
  <sheetFormatPr defaultRowHeight="15" x14ac:dyDescent="0.25"/>
  <cols>
    <col min="4" max="4" width="9" bestFit="1" customWidth="1"/>
  </cols>
  <sheetData>
    <row r="4" spans="3:5" x14ac:dyDescent="0.25">
      <c r="D4" t="s">
        <v>1</v>
      </c>
    </row>
    <row r="5" spans="3:5" x14ac:dyDescent="0.25">
      <c r="D5" t="s">
        <v>28</v>
      </c>
      <c r="E5" t="s">
        <v>29</v>
      </c>
    </row>
    <row r="6" spans="3:5" x14ac:dyDescent="0.25">
      <c r="D6">
        <v>42.4</v>
      </c>
      <c r="E6">
        <v>0.52900000000000003</v>
      </c>
    </row>
    <row r="7" spans="3:5" x14ac:dyDescent="0.25">
      <c r="D7">
        <v>38.15</v>
      </c>
      <c r="E7">
        <v>0.81599999999999995</v>
      </c>
    </row>
    <row r="8" spans="3:5" x14ac:dyDescent="0.25">
      <c r="D8">
        <v>35.65</v>
      </c>
      <c r="E8">
        <v>0.498</v>
      </c>
    </row>
    <row r="9" spans="3:5" x14ac:dyDescent="0.25">
      <c r="D9">
        <v>30.35</v>
      </c>
      <c r="E9">
        <v>0.85799999999999998</v>
      </c>
    </row>
    <row r="10" spans="3:5" x14ac:dyDescent="0.25">
      <c r="D10">
        <v>25.7</v>
      </c>
      <c r="E10">
        <v>0.999</v>
      </c>
    </row>
    <row r="11" spans="3:5" x14ac:dyDescent="0.25">
      <c r="D11">
        <v>20.100000000000001</v>
      </c>
      <c r="E11">
        <v>0.98799999999999999</v>
      </c>
    </row>
    <row r="12" spans="3:5" x14ac:dyDescent="0.25">
      <c r="D12">
        <v>16.05</v>
      </c>
      <c r="E12">
        <v>0.83299999999999996</v>
      </c>
    </row>
    <row r="13" spans="3:5" x14ac:dyDescent="0.25">
      <c r="D13">
        <v>12.9</v>
      </c>
      <c r="E13">
        <v>2.2080000000000002</v>
      </c>
    </row>
    <row r="14" spans="3:5" x14ac:dyDescent="0.25">
      <c r="D14">
        <v>8.4499999999999993</v>
      </c>
      <c r="E14">
        <v>2.6389999999999998</v>
      </c>
    </row>
    <row r="15" spans="3:5" x14ac:dyDescent="0.25">
      <c r="D15">
        <v>6.1</v>
      </c>
      <c r="E15">
        <v>0.54</v>
      </c>
    </row>
    <row r="16" spans="3:5" x14ac:dyDescent="0.25">
      <c r="C16" t="s">
        <v>30</v>
      </c>
      <c r="D16">
        <f>AVERAGE(D6:D15)</f>
        <v>23.584999999999997</v>
      </c>
      <c r="E16">
        <f>AVERAGE(E6:E15)</f>
        <v>1.0908000000000002</v>
      </c>
    </row>
    <row r="22" spans="6:10" x14ac:dyDescent="0.25">
      <c r="J22">
        <f>1.09/0.7542</f>
        <v>1.4452399893927341</v>
      </c>
    </row>
    <row r="28" spans="6:10" x14ac:dyDescent="0.25">
      <c r="F28">
        <v>0.45500000000000002</v>
      </c>
    </row>
    <row r="29" spans="6:10" x14ac:dyDescent="0.25">
      <c r="F29">
        <v>0.46300000000000002</v>
      </c>
    </row>
    <row r="30" spans="6:10" x14ac:dyDescent="0.25">
      <c r="F30">
        <v>0.442</v>
      </c>
    </row>
    <row r="31" spans="6:10" x14ac:dyDescent="0.25">
      <c r="F31">
        <v>0.46300000000000002</v>
      </c>
    </row>
    <row r="32" spans="6:10" x14ac:dyDescent="0.25">
      <c r="F32">
        <v>0.45</v>
      </c>
    </row>
    <row r="33" spans="6:6" x14ac:dyDescent="0.25">
      <c r="F33">
        <v>0.44700000000000001</v>
      </c>
    </row>
    <row r="34" spans="6:6" x14ac:dyDescent="0.25">
      <c r="F34">
        <v>0.441</v>
      </c>
    </row>
    <row r="35" spans="6:6" x14ac:dyDescent="0.25">
      <c r="F35">
        <v>0.45</v>
      </c>
    </row>
    <row r="36" spans="6:6" x14ac:dyDescent="0.25">
      <c r="F36">
        <v>0.439</v>
      </c>
    </row>
    <row r="37" spans="6:6" x14ac:dyDescent="0.25">
      <c r="F37">
        <v>0.48399999999999999</v>
      </c>
    </row>
    <row r="39" spans="6:6" x14ac:dyDescent="0.25">
      <c r="F39">
        <f>AVERAGE(F28:F37)</f>
        <v>0.45339999999999997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2023-07-22T05:09:18Z</dcterms:created>
  <dcterms:modified xsi:type="dcterms:W3CDTF">2023-07-23T10:41:12Z</dcterms:modified>
</cp:coreProperties>
</file>