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liensun/Documents/Projet Perso/"/>
    </mc:Choice>
  </mc:AlternateContent>
  <xr:revisionPtr revIDLastSave="0" documentId="13_ncr:1_{7DEED7CB-3412-D94D-A70A-50C84E2C3A96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orders" sheetId="17" r:id="rId1"/>
    <sheet name="customers" sheetId="13" r:id="rId2"/>
    <sheet name="products" sheetId="2" r:id="rId3"/>
    <sheet name="Dashbord" sheetId="21" r:id="rId4"/>
    <sheet name="TotalSales" sheetId="18" r:id="rId5"/>
    <sheet name="Country" sheetId="19" r:id="rId6"/>
    <sheet name="Top 5 Customers" sheetId="20" r:id="rId7"/>
  </sheets>
  <definedNames>
    <definedName name="_xlnm._FilterDatabase" localSheetId="0" hidden="1">orders!$A$1:$M$1001</definedName>
    <definedName name="_xlnm._FilterDatabase" localSheetId="2" hidden="1">products!$A$1:$G$49</definedName>
    <definedName name="ChronologieNative_Order_Date">#N/A</definedName>
    <definedName name="Segment_Loyalty_Card">#N/A</definedName>
    <definedName name="Segment_Roast_Type_Name">#N/A</definedName>
    <definedName name="Segment_Size">#N/A</definedName>
  </definedNames>
  <calcPr calcId="191028"/>
  <pivotCaches>
    <pivotCache cacheId="30" r:id="rId8"/>
  </pivotCaches>
  <fileRecoveryPr repairLoad="1"/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7" l="1"/>
  <c r="H2" i="17"/>
  <c r="I2" i="17"/>
  <c r="J2" i="17"/>
  <c r="K2" i="17"/>
  <c r="L2" i="17"/>
  <c r="M2" i="17"/>
  <c r="N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H4" i="17"/>
  <c r="J16" i="17"/>
  <c r="O16" i="17" s="1"/>
  <c r="L9" i="17"/>
  <c r="M9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2" i="17"/>
  <c r="H3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O2" i="17" l="1"/>
</calcChain>
</file>

<file path=xl/sharedStrings.xml><?xml version="1.0" encoding="utf-8"?>
<sst xmlns="http://schemas.openxmlformats.org/spreadsheetml/2006/main" count="11139" uniqueCount="6227">
  <si>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</si>
  <si>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</si>
  <si>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</si>
  <si>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</si>
  <si>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</si>
  <si>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</si>
  <si>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</si>
  <si>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</si>
  <si>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</si>
  <si>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</si>
  <si>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</si>
  <si>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</si>
  <si>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</si>
  <si>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</si>
  <si>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</si>
  <si>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</si>
  <si>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</si>
  <si>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</si>
  <si>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</si>
  <si>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</si>
  <si>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</si>
  <si>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</si>
  <si>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</si>
  <si>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</si>
  <si>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</si>
  <si>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</si>
  <si>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</si>
  <si>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</si>
  <si>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</si>
  <si>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</si>
  <si>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</si>
  <si>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</si>
  <si>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</si>
  <si>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</si>
  <si>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</si>
  <si>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</si>
  <si>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</si>
  <si>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</si>
  <si>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</si>
  <si>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</si>
  <si>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</si>
  <si>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</si>
  <si>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</si>
  <si>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</si>
  <si>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</si>
  <si>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</si>
  <si>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</si>
  <si>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</si>
  <si>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</si>
  <si>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</si>
  <si>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</si>
  <si>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</si>
  <si>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</si>
  <si>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</si>
  <si>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</si>
  <si>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</si>
  <si>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</si>
  <si>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</si>
  <si>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</si>
  <si>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</si>
  <si>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</si>
  <si>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</si>
  <si>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</si>
  <si>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</si>
  <si>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</si>
  <si>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</si>
  <si>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</si>
  <si>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</si>
  <si>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</si>
  <si>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</si>
  <si>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</si>
  <si>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</si>
  <si>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</si>
  <si>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</si>
  <si>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</si>
  <si>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</si>
  <si>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</si>
  <si>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</si>
  <si>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</si>
  <si>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</si>
  <si>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</si>
  <si>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</si>
  <si>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</si>
  <si>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</si>
  <si>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</si>
  <si>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</si>
  <si>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</si>
  <si>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</si>
  <si>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</si>
  <si>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</si>
  <si>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</si>
  <si>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</si>
  <si>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</si>
  <si>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</si>
  <si>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</si>
  <si>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</si>
  <si>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</si>
  <si>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</si>
  <si>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</si>
  <si>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</si>
  <si>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</si>
  <si>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</si>
  <si>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</si>
  <si>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</si>
  <si>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</si>
  <si>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</si>
  <si>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</si>
  <si>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</si>
  <si>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</si>
  <si>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</si>
  <si>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</si>
  <si>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</si>
  <si>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</si>
  <si>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</si>
  <si>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</si>
  <si>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</si>
  <si>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</si>
  <si>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</si>
  <si>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</si>
  <si>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</si>
  <si>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</si>
  <si>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</si>
  <si>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</si>
  <si>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</si>
  <si>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</si>
  <si>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</si>
  <si>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</si>
  <si>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</si>
  <si>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</si>
  <si>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</si>
  <si>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</si>
  <si>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</si>
  <si>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</si>
  <si>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</si>
  <si>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</si>
  <si>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</si>
  <si>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</si>
  <si>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</si>
  <si>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</si>
  <si>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</si>
  <si>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</si>
  <si>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</si>
  <si>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</si>
  <si>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</si>
  <si>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</si>
  <si>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</si>
  <si>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</si>
  <si>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</si>
  <si>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</si>
  <si>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</si>
  <si>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</si>
  <si>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</si>
  <si>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</si>
  <si>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</si>
  <si>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</si>
  <si>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</si>
  <si>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</si>
  <si>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</si>
  <si>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</si>
  <si>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</si>
  <si>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</si>
  <si>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</si>
  <si>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</si>
  <si>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</si>
  <si>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</si>
  <si>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</si>
  <si>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</si>
  <si>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</si>
  <si>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</si>
  <si>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</si>
  <si>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</si>
  <si>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</si>
  <si>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</si>
  <si>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</si>
  <si>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</si>
  <si>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</si>
  <si>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</si>
  <si>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</si>
  <si>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</si>
  <si>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</si>
  <si>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</si>
  <si>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</si>
  <si>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</si>
  <si>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</si>
  <si>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</si>
  <si>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</si>
  <si>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</si>
  <si>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</si>
  <si>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</si>
  <si>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</si>
  <si>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</si>
  <si>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</si>
  <si>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</si>
  <si>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</si>
  <si>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</si>
  <si>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</si>
  <si>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</si>
  <si>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</si>
  <si>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</si>
  <si>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</si>
  <si>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</si>
  <si>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</si>
  <si>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</si>
  <si>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</si>
  <si>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</si>
  <si>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</si>
  <si>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</si>
  <si>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</si>
  <si>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</si>
  <si>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</si>
  <si>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</si>
  <si>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</si>
  <si>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</si>
  <si>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</si>
  <si>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</si>
  <si>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</si>
  <si>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</si>
  <si>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</si>
  <si>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</si>
  <si>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</si>
  <si>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</si>
  <si>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</si>
  <si>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</si>
  <si>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</si>
  <si>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</si>
  <si>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</si>
  <si>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</si>
  <si>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</si>
  <si>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</si>
  <si>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</si>
  <si>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</si>
  <si>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</si>
  <si>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</si>
  <si>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</si>
  <si>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</si>
  <si>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</si>
  <si>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</si>
  <si>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</si>
  <si>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</si>
  <si>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</si>
  <si>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</si>
  <si>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</si>
  <si>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</si>
  <si>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</si>
  <si>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</si>
  <si>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</si>
  <si>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</si>
  <si>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</si>
  <si>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</si>
  <si>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</si>
  <si>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</si>
  <si>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</si>
  <si>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</si>
  <si>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</si>
  <si>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</si>
  <si>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</si>
  <si>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</si>
  <si>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</si>
  <si>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</si>
  <si>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</si>
  <si>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</si>
  <si>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</si>
  <si>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</si>
  <si>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</si>
  <si>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</si>
  <si>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</si>
  <si>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</si>
  <si>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</si>
  <si>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</si>
  <si>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</si>
  <si>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</si>
  <si>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</si>
  <si>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</si>
  <si>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</si>
  <si>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</si>
  <si>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</si>
  <si>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</si>
  <si>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</si>
  <si>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</si>
  <si>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</si>
  <si>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</si>
  <si>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</si>
  <si>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</si>
  <si>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</si>
  <si>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</si>
  <si>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</si>
  <si>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</si>
  <si>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</si>
  <si>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</si>
  <si>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</si>
  <si>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</si>
  <si>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</si>
  <si>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</si>
  <si>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</si>
  <si>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</si>
  <si>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</si>
  <si>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</si>
  <si>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</si>
  <si>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</si>
  <si>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</si>
  <si>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</si>
  <si>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</si>
  <si>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</si>
  <si>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</si>
  <si>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</si>
  <si>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</si>
  <si>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</si>
  <si>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</si>
  <si>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</si>
  <si>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</si>
  <si>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</si>
  <si>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</si>
  <si>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</si>
  <si>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</si>
  <si>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</si>
  <si>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</si>
  <si>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</si>
  <si>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</si>
  <si>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</si>
  <si>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</si>
  <si>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</si>
  <si>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</si>
  <si>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</si>
  <si>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</si>
  <si>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</si>
  <si>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</si>
  <si>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</si>
  <si>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</si>
  <si>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</si>
  <si>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</si>
  <si>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</si>
  <si>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</si>
  <si>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</si>
  <si>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</si>
  <si>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</si>
  <si>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</si>
  <si>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</si>
  <si>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</si>
  <si>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</si>
  <si>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</si>
  <si>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</si>
  <si>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</si>
  <si>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</si>
  <si>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</si>
  <si>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</si>
  <si>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</si>
  <si>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</si>
  <si>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</si>
  <si>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</si>
  <si>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</si>
  <si>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</si>
  <si>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</si>
  <si>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</si>
  <si>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</si>
  <si>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</si>
  <si>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</si>
  <si>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</si>
  <si>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</si>
  <si>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</si>
  <si>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</si>
  <si>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</si>
  <si>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</si>
  <si>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</si>
  <si>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</si>
  <si>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</si>
  <si>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</si>
  <si>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</si>
  <si>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</si>
  <si>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</si>
  <si>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</si>
  <si>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</si>
  <si>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</si>
  <si>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</si>
  <si>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</si>
  <si>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</si>
  <si>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</si>
  <si>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</si>
  <si>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</si>
  <si>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</si>
  <si>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</si>
  <si>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</si>
  <si>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</si>
  <si>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</si>
  <si>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</si>
  <si>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</si>
  <si>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</si>
  <si>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</si>
  <si>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</si>
  <si>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</si>
  <si>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</si>
  <si>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</si>
  <si>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</si>
  <si>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</si>
  <si>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</si>
  <si>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</si>
  <si>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</si>
  <si>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</si>
  <si>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</si>
  <si>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</si>
  <si>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</si>
  <si>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</si>
  <si>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</si>
  <si>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</si>
  <si>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</si>
  <si>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</si>
  <si>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</si>
  <si>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</si>
  <si>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</si>
  <si>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</si>
  <si>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</si>
  <si>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</si>
  <si>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</si>
  <si>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</si>
  <si>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</si>
  <si>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</si>
  <si>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</si>
  <si>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</si>
  <si>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</si>
  <si>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</si>
  <si>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</si>
  <si>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</si>
  <si>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</si>
  <si>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</si>
  <si>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</si>
  <si>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</si>
  <si>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</si>
  <si>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</si>
  <si>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</si>
  <si>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</si>
  <si>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</si>
  <si>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</si>
  <si>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</si>
  <si>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</si>
  <si>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</si>
  <si>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</si>
  <si>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</si>
  <si>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</si>
  <si>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</si>
  <si>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</si>
  <si>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</si>
  <si>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</si>
  <si>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</si>
  <si>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</si>
  <si>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</si>
  <si>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</si>
  <si>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</si>
  <si>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</si>
  <si>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</si>
  <si>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</si>
  <si>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</si>
  <si>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</si>
  <si>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</si>
  <si>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</si>
  <si>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</si>
  <si>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</si>
  <si>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</si>
  <si>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</si>
  <si>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</si>
  <si>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</si>
  <si>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</si>
  <si>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</si>
  <si>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</si>
  <si>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</si>
  <si>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</si>
  <si>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</si>
  <si>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</si>
  <si>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</si>
  <si>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</si>
  <si>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</si>
  <si>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</si>
  <si>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</si>
  <si>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</si>
  <si>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</si>
  <si>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</si>
  <si>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</si>
  <si>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</si>
  <si>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</si>
  <si>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</si>
  <si>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</si>
  <si>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</si>
  <si>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</si>
  <si>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</si>
  <si>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</si>
  <si>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</si>
  <si>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</si>
  <si>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</si>
  <si>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</si>
  <si>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</si>
  <si>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</si>
  <si>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</si>
  <si>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</si>
  <si>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</si>
  <si>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</si>
  <si>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</si>
  <si>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</si>
  <si>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</si>
  <si>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</si>
  <si>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</si>
  <si>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</si>
  <si>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</si>
  <si>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</si>
  <si>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</si>
  <si>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</si>
  <si>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</si>
  <si>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</si>
  <si>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</si>
  <si>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</si>
  <si>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</si>
  <si>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</si>
  <si>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</si>
  <si>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</si>
  <si>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</si>
  <si>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</si>
  <si>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</si>
  <si>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</si>
  <si>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</si>
  <si>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</si>
  <si>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</si>
  <si>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</si>
  <si>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</si>
  <si>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</si>
  <si>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</si>
  <si>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</si>
  <si>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</si>
  <si>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</si>
  <si>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</si>
  <si>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</si>
  <si>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</si>
  <si>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</si>
  <si>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</si>
  <si>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</si>
  <si>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</si>
  <si>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</si>
  <si>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</si>
  <si>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</si>
  <si>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</si>
  <si>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</si>
  <si>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</si>
  <si>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</si>
  <si>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</si>
  <si>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</si>
  <si>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</si>
  <si>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</si>
  <si>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</si>
  <si>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</si>
  <si>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</si>
  <si>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</si>
  <si>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</si>
  <si>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</si>
  <si>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</si>
  <si>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</si>
  <si>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</si>
  <si>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</si>
  <si>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</si>
  <si>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</si>
  <si>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</si>
  <si>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</si>
  <si>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</si>
  <si>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</si>
  <si>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</si>
  <si>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</si>
  <si>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</si>
  <si>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</si>
  <si>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</si>
  <si>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</si>
  <si>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</si>
  <si>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</si>
  <si>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</si>
  <si>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</si>
  <si>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</si>
  <si>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</si>
  <si>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</si>
  <si>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</si>
  <si>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</si>
  <si>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</si>
  <si>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</si>
  <si>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</si>
  <si>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</si>
  <si>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</si>
  <si>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</si>
  <si>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</si>
  <si>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</si>
  <si>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</si>
  <si>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</si>
  <si>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</si>
  <si>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</si>
  <si>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</si>
  <si>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</si>
  <si>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</si>
  <si>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</si>
  <si>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</si>
  <si>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</si>
  <si>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</si>
  <si>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</si>
  <si>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</si>
  <si>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</si>
  <si>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</si>
  <si>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</si>
  <si>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</si>
  <si>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</si>
  <si>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</si>
  <si>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</si>
  <si>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</si>
  <si>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</si>
  <si>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</si>
  <si>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</si>
  <si>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</si>
  <si>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</si>
  <si>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</si>
  <si>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</si>
  <si>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</si>
  <si>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</si>
  <si>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</si>
  <si>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</si>
  <si>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</si>
  <si>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</si>
  <si>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</si>
  <si>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</si>
  <si>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</si>
  <si>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</si>
  <si>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</si>
  <si>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</si>
  <si>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</si>
  <si>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</si>
  <si>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</si>
  <si>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</si>
  <si>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</si>
  <si>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</si>
  <si>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</si>
  <si>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</si>
  <si>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</si>
  <si>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</si>
  <si>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</si>
  <si>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</si>
  <si>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</si>
  <si>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</si>
  <si>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</si>
  <si>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</si>
  <si>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</si>
  <si>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</si>
  <si>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</si>
  <si>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</si>
  <si>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</si>
  <si>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</si>
  <si>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</si>
  <si>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</si>
  <si>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</si>
  <si>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</si>
  <si>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</si>
  <si>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</si>
  <si>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</si>
  <si>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</si>
  <si>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</si>
  <si>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</si>
  <si>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</si>
  <si>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</si>
  <si>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</si>
  <si>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</si>
  <si>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</si>
  <si>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</si>
  <si>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</si>
  <si>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</si>
  <si>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</si>
  <si>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</si>
  <si>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</si>
  <si>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</si>
  <si>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</si>
  <si>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</si>
  <si>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</si>
  <si>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</si>
  <si>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</si>
  <si>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</si>
  <si>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</si>
  <si>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</si>
  <si>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</si>
  <si>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</si>
  <si>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</si>
  <si>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</si>
  <si>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</si>
  <si>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</si>
  <si>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</si>
  <si>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</si>
  <si>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</si>
  <si>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</si>
  <si>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</si>
  <si>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</si>
  <si>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</si>
  <si>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</si>
  <si>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</si>
  <si>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</si>
  <si>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</si>
  <si>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</si>
  <si>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</si>
  <si>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</si>
  <si>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</si>
  <si>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</si>
  <si>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</si>
  <si>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</si>
  <si>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</si>
  <si>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</si>
  <si>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</si>
  <si>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</si>
  <si>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</si>
  <si>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</si>
  <si>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</si>
  <si>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</si>
  <si>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</si>
  <si>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</si>
  <si>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</si>
  <si>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</si>
  <si>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</si>
  <si>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</si>
  <si>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</si>
  <si>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</si>
  <si>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</si>
  <si>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</si>
  <si>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</si>
  <si>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</si>
  <si>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</si>
  <si>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</si>
  <si>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</si>
  <si>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</si>
  <si>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</si>
  <si>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</si>
  <si>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</si>
  <si>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</si>
  <si>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</si>
  <si>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</si>
  <si>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</si>
  <si>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</si>
  <si>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</si>
  <si>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</si>
  <si>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</si>
  <si>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</si>
  <si>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</si>
  <si>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</si>
  <si>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</si>
  <si>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</si>
  <si>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</si>
  <si>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</si>
  <si>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</si>
  <si>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</si>
  <si>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</si>
  <si>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</si>
  <si>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</si>
  <si>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</si>
  <si>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</si>
  <si>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</si>
  <si>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</si>
  <si>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</si>
  <si>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</si>
  <si>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</si>
  <si>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</si>
  <si>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</si>
  <si>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</si>
  <si>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</si>
  <si>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</si>
  <si>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</si>
  <si>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</si>
  <si>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</si>
  <si>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</si>
  <si>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</si>
  <si>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</si>
  <si>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</si>
  <si>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</si>
  <si>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</si>
  <si>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</si>
  <si>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</si>
  <si>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</si>
  <si>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</si>
  <si>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</si>
  <si>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</si>
  <si>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</si>
  <si>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</si>
  <si>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</si>
  <si>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</si>
  <si>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</si>
  <si>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</si>
  <si>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</si>
  <si>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</si>
  <si>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</si>
  <si>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</si>
  <si>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</si>
  <si>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</si>
  <si>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</si>
  <si>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</si>
  <si>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</si>
  <si>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</si>
  <si>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</si>
  <si>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</si>
  <si>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</si>
  <si>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</si>
  <si>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</si>
  <si>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</si>
  <si>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</si>
  <si>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</si>
  <si>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</si>
  <si>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</si>
  <si>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</si>
  <si>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</si>
  <si>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</si>
  <si>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</si>
  <si>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</si>
  <si>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</si>
  <si>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</si>
  <si>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</si>
  <si>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</si>
  <si>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</si>
  <si>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</si>
  <si>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</si>
  <si>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</si>
  <si>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</si>
  <si>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</si>
  <si>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</si>
  <si>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</si>
  <si>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</si>
  <si>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</si>
  <si>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</si>
  <si>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</si>
  <si>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</si>
  <si>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</si>
  <si>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</si>
  <si>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</si>
  <si>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</si>
  <si>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</si>
  <si>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</si>
  <si>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</si>
  <si>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</si>
  <si>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</si>
  <si>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</si>
  <si>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</si>
  <si>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</si>
  <si>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</si>
  <si>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</si>
  <si>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</si>
  <si>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</si>
  <si>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</si>
  <si>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</si>
  <si>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</si>
  <si>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</si>
  <si>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</si>
  <si>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</si>
  <si>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</si>
  <si>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</si>
  <si>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</si>
  <si>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</si>
  <si>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</si>
  <si>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</si>
  <si>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</si>
  <si>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</si>
  <si>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</si>
  <si>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</si>
  <si>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</si>
  <si>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</si>
  <si>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</si>
  <si>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</si>
  <si>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</si>
  <si>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</si>
  <si>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</si>
  <si>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</si>
  <si>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</si>
  <si>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</si>
  <si>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</si>
  <si>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</si>
  <si>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</si>
  <si>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</si>
  <si>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</si>
  <si>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</si>
  <si>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</si>
  <si>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</si>
  <si>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</si>
  <si>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</si>
  <si>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</si>
  <si>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</si>
  <si>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</si>
  <si>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</si>
  <si>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</si>
  <si>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</si>
  <si>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</si>
  <si>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</si>
  <si>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</si>
  <si>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</si>
  <si>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</si>
  <si>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</si>
  <si>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</si>
  <si>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</si>
  <si>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</si>
  <si>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</si>
  <si>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</si>
  <si>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</si>
  <si>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</si>
  <si>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</si>
  <si>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</si>
  <si>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</si>
  <si>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</si>
  <si>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</si>
  <si>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</si>
  <si>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</si>
  <si>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</si>
  <si>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</si>
  <si>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</si>
  <si>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</si>
  <si>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</si>
  <si>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</si>
  <si>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</si>
  <si>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</si>
  <si>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</si>
  <si>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</si>
  <si>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</si>
  <si>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</si>
  <si>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</si>
  <si>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</si>
  <si>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</si>
  <si>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</si>
  <si>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</si>
  <si>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</si>
  <si>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</si>
  <si>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</si>
  <si>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</si>
  <si>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</si>
  <si>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</si>
  <si>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</si>
  <si>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</si>
  <si>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</si>
  <si>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</si>
  <si>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</si>
  <si>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</si>
  <si>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</si>
  <si>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</si>
  <si>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</si>
  <si>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</si>
  <si>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</si>
  <si>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</si>
  <si>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</si>
  <si>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</si>
  <si>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</si>
  <si>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</si>
  <si>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</si>
  <si>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</si>
  <si>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</si>
  <si>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</si>
  <si>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</si>
  <si>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</si>
  <si>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</si>
  <si>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</si>
  <si>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</si>
  <si>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</si>
  <si>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</si>
  <si>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</si>
  <si>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</si>
  <si>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</si>
  <si>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</si>
  <si>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</si>
  <si>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</si>
  <si>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</si>
  <si>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</si>
  <si>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</si>
  <si>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</si>
  <si>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</si>
  <si>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</si>
  <si>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</si>
  <si>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</si>
  <si>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</si>
  <si>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</si>
  <si>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</si>
  <si>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</si>
  <si>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</si>
  <si>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</si>
  <si>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</si>
  <si>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</si>
  <si>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</si>
  <si>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</si>
  <si>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</si>
  <si>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</si>
  <si>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</si>
  <si>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</si>
  <si>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</si>
  <si>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</si>
  <si>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</si>
  <si>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</si>
  <si>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</si>
  <si>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</si>
  <si>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</si>
  <si>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</si>
  <si>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</si>
  <si>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</si>
  <si>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</si>
  <si>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</si>
  <si>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</si>
  <si>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</si>
  <si>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</si>
  <si>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</si>
  <si>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</si>
  <si>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</si>
  <si>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</si>
  <si>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</si>
  <si>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</si>
  <si>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</si>
  <si>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</si>
  <si>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</si>
  <si>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</si>
  <si>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</si>
  <si>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</si>
  <si>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</si>
  <si>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</si>
  <si>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</si>
  <si>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</si>
  <si>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</si>
  <si>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</si>
  <si>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</si>
  <si>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</si>
  <si>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</si>
  <si>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</si>
  <si>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</si>
  <si>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</si>
  <si>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</si>
  <si>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</si>
  <si>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</si>
  <si>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</si>
  <si>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</si>
  <si>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</si>
  <si>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</si>
  <si>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</si>
  <si>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</si>
  <si>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</si>
  <si>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</si>
  <si>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</si>
  <si>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</si>
  <si>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</si>
  <si>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</si>
  <si>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</si>
  <si>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</si>
  <si>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</si>
  <si>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</si>
  <si>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</si>
  <si>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</si>
  <si>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</si>
  <si>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</si>
  <si>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</si>
  <si>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</si>
  <si>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</si>
  <si>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</si>
  <si>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</si>
  <si>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</si>
  <si>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</si>
  <si>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</si>
  <si>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</si>
  <si>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</si>
  <si>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</si>
  <si>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</si>
  <si>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</si>
  <si>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</si>
  <si>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</si>
  <si>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</si>
  <si>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</si>
  <si>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</si>
  <si>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</si>
  <si>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</si>
  <si>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</si>
  <si>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</si>
  <si>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</si>
  <si>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</si>
  <si>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</si>
  <si>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</si>
  <si>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</si>
  <si>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</si>
  <si>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</si>
  <si>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</si>
  <si>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</si>
  <si>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</si>
  <si>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</si>
  <si>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</si>
  <si>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</si>
  <si>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</si>
  <si>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</si>
  <si>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</si>
  <si>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</si>
  <si>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</si>
  <si>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</si>
  <si>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</si>
  <si>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</si>
  <si>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</si>
  <si>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</si>
  <si>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</si>
  <si>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</si>
  <si>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</si>
  <si>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</si>
  <si>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</si>
  <si>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</si>
  <si>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</si>
  <si>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</si>
  <si>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</si>
  <si>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</si>
  <si>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</si>
  <si>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</si>
  <si>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</si>
  <si>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</si>
  <si>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</si>
  <si>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</si>
  <si>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</si>
  <si>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</si>
  <si>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</si>
  <si>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</si>
  <si>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</si>
  <si>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</si>
  <si>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</si>
  <si>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</si>
  <si>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</si>
  <si>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</si>
  <si>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</si>
  <si>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</si>
  <si>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</si>
  <si>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</si>
  <si>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</si>
  <si>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</si>
  <si>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</si>
  <si>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</si>
  <si>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</si>
  <si>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</si>
  <si>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</si>
  <si>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</si>
  <si>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</si>
  <si>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</si>
  <si>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</si>
  <si>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</si>
  <si>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</si>
  <si>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</si>
  <si>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</si>
  <si>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</si>
  <si>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</si>
  <si>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</si>
  <si>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</si>
  <si>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</si>
  <si>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</si>
  <si>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</si>
  <si>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</si>
  <si>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</si>
  <si>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</si>
  <si>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</si>
  <si>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</si>
  <si>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</si>
  <si>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</si>
  <si>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</si>
  <si>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</si>
  <si>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</si>
  <si>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</si>
  <si>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</si>
  <si>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</si>
  <si>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</si>
  <si>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</si>
  <si>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</si>
  <si>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</si>
  <si>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</si>
  <si>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</si>
  <si>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</si>
  <si>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</si>
  <si>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</si>
  <si>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</si>
  <si>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</si>
  <si>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</si>
  <si>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</si>
  <si>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</si>
  <si>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</si>
  <si>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</si>
  <si>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</si>
  <si>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</si>
  <si>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</si>
  <si>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</si>
  <si>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</si>
  <si>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</si>
  <si>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</si>
  <si>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</si>
  <si>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</si>
  <si>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</si>
  <si>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</si>
  <si>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</si>
  <si>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</si>
  <si>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</si>
  <si>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</si>
  <si>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</si>
  <si>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</si>
  <si>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</si>
  <si>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</si>
  <si>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</si>
  <si>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</si>
  <si>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</si>
  <si>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</si>
  <si>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</si>
  <si>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</si>
  <si>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</si>
  <si>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</si>
  <si>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</si>
  <si>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</si>
  <si>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</si>
  <si>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</si>
  <si>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</si>
  <si>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</si>
  <si>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</si>
  <si>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</si>
  <si>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</si>
  <si>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</si>
  <si>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</si>
  <si>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</si>
  <si>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</si>
  <si>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</si>
  <si>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</si>
  <si>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</si>
  <si>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</si>
  <si>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</si>
  <si>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</si>
  <si>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</si>
  <si>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</si>
  <si>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</si>
  <si>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</si>
  <si>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</si>
  <si>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</si>
  <si>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</si>
  <si>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</si>
  <si>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</si>
  <si>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</si>
  <si>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</si>
  <si>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</si>
  <si>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</si>
  <si>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</si>
  <si>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</si>
  <si>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</si>
  <si>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</si>
  <si>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</si>
  <si>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</si>
  <si>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</si>
  <si>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</si>
  <si>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</si>
  <si>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</si>
  <si>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</si>
  <si>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</si>
  <si>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</si>
  <si>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</si>
  <si>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</si>
  <si>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</si>
  <si>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</si>
  <si>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</si>
  <si>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</si>
  <si>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</si>
  <si>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</si>
  <si>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</si>
  <si>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</si>
  <si>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</si>
  <si>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</si>
  <si>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</si>
  <si>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</si>
  <si>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</si>
  <si>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</si>
  <si>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</si>
  <si>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</si>
  <si>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</si>
  <si>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</si>
  <si>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</si>
  <si>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</si>
  <si>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</si>
  <si>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</si>
  <si>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</si>
  <si>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</si>
  <si>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</si>
  <si>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</si>
  <si>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</si>
  <si>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</si>
  <si>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</si>
  <si>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</si>
  <si>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</si>
  <si>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</si>
  <si>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</si>
  <si>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</si>
  <si>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</si>
  <si>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</si>
  <si>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</si>
  <si>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</si>
  <si>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</si>
  <si>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</si>
  <si>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</si>
  <si>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</si>
  <si>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</si>
  <si>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</si>
  <si>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</si>
  <si>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</si>
  <si>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</si>
  <si>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</si>
  <si>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</si>
  <si>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</si>
  <si>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</si>
  <si>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</si>
  <si>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</si>
  <si>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</si>
  <si>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</si>
  <si>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</si>
  <si>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</si>
  <si>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</si>
  <si>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</si>
  <si>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</si>
  <si>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</si>
  <si>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</si>
  <si>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</si>
  <si>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</si>
  <si>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</si>
  <si>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</si>
  <si>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</si>
  <si>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</si>
  <si>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</si>
  <si>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</si>
  <si>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</si>
  <si>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</si>
  <si>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</si>
  <si>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</si>
  <si>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</si>
  <si>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</si>
  <si>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</si>
  <si>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</si>
  <si>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</si>
  <si>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</si>
  <si>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</si>
  <si>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</si>
  <si>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</si>
  <si>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</si>
  <si>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</si>
  <si>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</si>
  <si>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</si>
  <si>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</si>
  <si>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</si>
  <si>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</si>
  <si>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</si>
  <si>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</si>
  <si>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</si>
  <si>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</si>
  <si>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</si>
  <si>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</si>
  <si>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</si>
  <si>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</si>
  <si>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</si>
  <si>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</si>
  <si>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</si>
  <si>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</si>
  <si>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</si>
  <si>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</si>
  <si>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</si>
  <si>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</si>
  <si>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</si>
  <si>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</si>
  <si>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</si>
  <si>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</si>
  <si>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</si>
  <si>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</si>
  <si>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</si>
  <si>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</si>
  <si>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</si>
  <si>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</si>
  <si>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</si>
  <si>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</si>
  <si>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</si>
  <si>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</si>
  <si>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</si>
  <si>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</si>
  <si>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</si>
  <si>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</si>
  <si>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</si>
  <si>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</si>
  <si>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</si>
  <si>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</si>
  <si>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</si>
  <si>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</si>
  <si>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</si>
  <si>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</si>
  <si>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</si>
  <si>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</si>
  <si>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</si>
  <si>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</si>
  <si>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</si>
  <si>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</si>
  <si>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</si>
  <si>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</si>
  <si>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</si>
  <si>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</si>
  <si>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</si>
  <si>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</si>
  <si>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</si>
  <si>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</si>
  <si>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</si>
  <si>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</si>
  <si>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</si>
  <si>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</si>
  <si>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</si>
  <si>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</si>
  <si>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</si>
  <si>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</si>
  <si>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</si>
  <si>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</si>
  <si>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</si>
  <si>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</si>
  <si>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</si>
  <si>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</si>
  <si>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</si>
  <si>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</si>
  <si>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</si>
  <si>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</si>
  <si>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</si>
  <si>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</si>
  <si>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</si>
  <si>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</si>
  <si>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</si>
  <si>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</si>
  <si>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</si>
  <si>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</si>
  <si>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</si>
  <si>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</si>
  <si>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</si>
  <si>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</si>
  <si>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</si>
  <si>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</si>
  <si>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</si>
  <si>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</si>
  <si>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</si>
  <si>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</si>
  <si>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</si>
  <si>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</si>
  <si>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</si>
  <si>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</si>
  <si>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</si>
  <si>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</si>
  <si>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</si>
  <si>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</si>
  <si>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</si>
  <si>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</si>
  <si>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</si>
  <si>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</si>
  <si>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</si>
  <si>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</si>
  <si>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</si>
  <si>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</si>
  <si>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</si>
  <si>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</si>
  <si>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</si>
  <si>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</si>
  <si>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</si>
  <si>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</si>
  <si>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</si>
  <si>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</si>
  <si>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</si>
  <si>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</si>
  <si>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</si>
  <si>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</si>
  <si>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</si>
  <si>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</si>
  <si>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</si>
  <si>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</si>
  <si>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</si>
  <si>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</si>
  <si>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</si>
  <si>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</si>
  <si>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</si>
  <si>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</si>
  <si>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</si>
  <si>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</si>
  <si>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</si>
  <si>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</si>
  <si>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</si>
  <si>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</si>
  <si>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</si>
  <si>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</si>
  <si>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</si>
  <si>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</si>
  <si>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</si>
  <si>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</si>
  <si>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</si>
  <si>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</si>
  <si>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</si>
  <si>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</si>
  <si>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</si>
  <si>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</si>
  <si>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</si>
  <si>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</si>
  <si>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</si>
  <si>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</si>
  <si>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</si>
  <si>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</si>
  <si>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</si>
  <si>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</si>
  <si>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</si>
  <si>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</si>
  <si>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</si>
  <si>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</si>
  <si>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</si>
  <si>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</si>
  <si>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</si>
  <si>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</si>
  <si>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</si>
  <si>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</si>
  <si>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</si>
  <si>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</si>
  <si>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</si>
  <si>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</si>
  <si>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</si>
  <si>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</si>
  <si>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</si>
  <si>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</si>
  <si>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</si>
  <si>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</si>
  <si>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</si>
  <si>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</si>
  <si>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</si>
  <si>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</si>
  <si>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</si>
  <si>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</si>
  <si>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</si>
  <si>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</si>
  <si>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</si>
  <si>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</si>
  <si>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</si>
  <si>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</si>
  <si>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</si>
  <si>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</si>
  <si>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</si>
  <si>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</si>
  <si>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</si>
  <si>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</si>
  <si>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</si>
  <si>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</si>
  <si>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</si>
  <si>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</si>
  <si>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</si>
  <si>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</si>
  <si>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</si>
  <si>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</si>
  <si>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</si>
  <si>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</si>
  <si>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</si>
  <si>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</si>
  <si>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</si>
  <si>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</si>
  <si>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</si>
  <si>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</si>
  <si>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</si>
  <si>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</si>
  <si>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</si>
  <si>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</si>
  <si>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</si>
  <si>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</si>
  <si>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</si>
  <si>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</si>
  <si>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</si>
  <si>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</si>
  <si>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</si>
  <si>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</si>
  <si>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</si>
  <si>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</si>
  <si>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</si>
  <si>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</si>
  <si>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</si>
  <si>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</si>
  <si>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</si>
  <si>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</si>
  <si>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</si>
  <si>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</si>
  <si>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</si>
  <si>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</si>
  <si>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</si>
  <si>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</si>
  <si>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</si>
  <si>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</si>
  <si>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</si>
  <si>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</si>
  <si>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</si>
  <si>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</si>
  <si>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</si>
  <si>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</si>
  <si>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</si>
  <si>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</si>
  <si>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</si>
  <si>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</si>
  <si>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</si>
  <si>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</si>
  <si>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</si>
  <si>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</si>
  <si>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</si>
  <si>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</si>
  <si>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</si>
  <si>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</si>
  <si>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</si>
  <si>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</si>
  <si>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</si>
  <si>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</si>
  <si>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</si>
  <si>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</si>
  <si>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</si>
  <si>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</si>
  <si>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</si>
  <si>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</si>
  <si>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</si>
  <si>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</si>
  <si>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</si>
  <si>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</si>
  <si>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</si>
  <si>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</si>
  <si>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</si>
  <si>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</si>
  <si>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</si>
  <si>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</si>
  <si>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</si>
  <si>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</si>
  <si>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</si>
  <si>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</si>
  <si>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</si>
  <si>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</si>
  <si>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</si>
  <si>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</si>
  <si>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</si>
  <si>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</si>
  <si>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</si>
  <si>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</si>
  <si>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</si>
  <si>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</si>
  <si>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</si>
  <si>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</si>
  <si>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</si>
  <si>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</si>
  <si>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</si>
  <si>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</si>
  <si>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</si>
  <si>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</si>
  <si>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</si>
  <si>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</si>
  <si>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</si>
  <si>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</si>
  <si>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</si>
  <si>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</si>
  <si>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</si>
  <si>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</si>
  <si>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</si>
  <si>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</si>
  <si>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</si>
  <si>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</si>
  <si>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</si>
  <si>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</si>
  <si>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</si>
  <si>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</si>
  <si>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</si>
  <si>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</si>
  <si>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</si>
  <si>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</si>
  <si>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</si>
  <si>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</si>
  <si>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</si>
  <si>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</si>
  <si>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</si>
  <si>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</si>
  <si>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</si>
  <si>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</si>
  <si>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</si>
  <si>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</si>
  <si>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</si>
  <si>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</si>
  <si>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</si>
  <si>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</si>
  <si>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</si>
  <si>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</si>
  <si>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</si>
  <si>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</si>
  <si>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</si>
  <si>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</si>
  <si>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</si>
  <si>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</si>
  <si>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</si>
  <si>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</si>
  <si>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</si>
  <si>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</si>
  <si>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</si>
  <si>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</si>
  <si>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</si>
  <si>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</si>
  <si>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</si>
  <si>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</si>
  <si>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</si>
  <si>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</si>
  <si>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</si>
  <si>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</si>
  <si>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</si>
  <si>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</si>
  <si>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</si>
  <si>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</si>
  <si>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</si>
  <si>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</si>
  <si>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</si>
  <si>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</si>
  <si>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</si>
  <si>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</si>
  <si>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</si>
  <si>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</si>
  <si>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</si>
  <si>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</si>
  <si>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</si>
  <si>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</si>
  <si>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</si>
  <si>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</si>
  <si>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</si>
  <si>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</si>
  <si>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</si>
  <si>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</si>
  <si>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</si>
  <si>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</si>
  <si>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</si>
  <si>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</si>
  <si>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</si>
  <si>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</si>
  <si>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</si>
  <si>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</si>
  <si>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</si>
  <si>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</si>
  <si>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</si>
  <si>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</si>
  <si>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</si>
  <si>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</si>
  <si>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</si>
  <si>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</si>
  <si>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</si>
  <si>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</si>
  <si>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</si>
  <si>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</si>
  <si>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</si>
  <si>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</si>
  <si>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</si>
  <si>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</si>
  <si>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</si>
  <si>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</si>
  <si>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</si>
  <si>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</si>
  <si>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</si>
  <si>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</si>
  <si>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</si>
  <si>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</si>
  <si>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</si>
  <si>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</si>
  <si>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</si>
  <si>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</si>
  <si>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</si>
  <si>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</si>
  <si>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</si>
  <si>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</si>
  <si>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</si>
  <si>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</si>
  <si>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</si>
  <si>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</si>
  <si>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</si>
  <si>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</si>
  <si>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</si>
  <si>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</si>
  <si>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</si>
  <si>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</si>
  <si>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</si>
  <si>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</si>
  <si>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</si>
  <si>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</si>
  <si>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</si>
  <si>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</si>
  <si>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</si>
  <si>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</si>
  <si>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</si>
  <si>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</si>
  <si>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</si>
  <si>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</si>
  <si>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</si>
  <si>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</si>
  <si>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</si>
  <si>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</si>
  <si>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</si>
  <si>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</si>
  <si>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</si>
  <si>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</si>
  <si>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</si>
  <si>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</si>
  <si>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</si>
  <si>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</si>
  <si>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</si>
  <si>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</si>
  <si>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</si>
  <si>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</si>
  <si>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</si>
  <si>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</si>
  <si>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</si>
  <si>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</si>
  <si>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</si>
  <si>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</si>
  <si>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</si>
  <si>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</si>
  <si>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</si>
  <si>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</si>
  <si>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</si>
  <si>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</si>
  <si>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</si>
  <si>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</si>
  <si>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</si>
  <si>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</si>
  <si>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</si>
  <si>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</si>
  <si>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</si>
  <si>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</si>
  <si>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</si>
  <si>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</si>
  <si>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</si>
  <si>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</si>
  <si>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</si>
  <si>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</si>
  <si>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</si>
  <si>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</si>
  <si>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</si>
  <si>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</si>
  <si>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</si>
  <si>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</si>
  <si>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</si>
  <si>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</si>
  <si>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</si>
  <si>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</si>
  <si>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</si>
  <si>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</si>
  <si>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</si>
  <si>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</si>
  <si>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</si>
  <si>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</si>
  <si>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</si>
  <si>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</si>
  <si>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</si>
  <si>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</si>
  <si>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</si>
  <si>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</si>
  <si>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</si>
  <si>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</si>
  <si>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</si>
  <si>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</si>
  <si>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</si>
  <si>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</si>
  <si>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</si>
  <si>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</si>
  <si>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</si>
  <si>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</si>
  <si>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</si>
  <si>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</si>
  <si>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</si>
  <si>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</si>
  <si>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</si>
  <si>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</si>
  <si>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</si>
  <si>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</si>
  <si>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</si>
  <si>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</si>
  <si>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</si>
  <si>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</si>
  <si>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</si>
  <si>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</si>
  <si>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</si>
  <si>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</si>
  <si>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</si>
  <si>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</si>
  <si>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</si>
  <si>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</si>
  <si>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</si>
  <si>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</si>
  <si>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</si>
  <si>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</si>
  <si>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</si>
  <si>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</si>
  <si>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</si>
  <si>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</si>
  <si>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</si>
  <si>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</si>
  <si>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</si>
  <si>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</si>
  <si>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</si>
  <si>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</si>
  <si>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</si>
  <si>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</si>
  <si>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</si>
  <si>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</si>
  <si>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</si>
  <si>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</si>
  <si>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</si>
  <si>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</si>
  <si>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</si>
  <si>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</si>
  <si>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</si>
  <si>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</si>
  <si>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</si>
  <si>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</si>
  <si>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</si>
  <si>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</si>
  <si>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</si>
  <si>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</si>
  <si>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</si>
  <si>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</si>
  <si>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</si>
  <si>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</si>
  <si>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</si>
  <si>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</si>
  <si>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</si>
  <si>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</si>
  <si>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</si>
  <si>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</si>
  <si>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</si>
  <si>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</si>
  <si>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</si>
  <si>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</si>
  <si>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</si>
  <si>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</si>
  <si>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</si>
  <si>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</si>
  <si>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</si>
  <si>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</si>
  <si>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</si>
  <si>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</si>
  <si>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</si>
  <si>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</si>
  <si>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</si>
  <si>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</si>
  <si>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</si>
  <si>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</si>
  <si>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</si>
  <si>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</si>
  <si>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</si>
  <si>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</si>
  <si>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</si>
  <si>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</si>
  <si>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</si>
  <si>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</si>
  <si>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</si>
  <si>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</si>
  <si>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</si>
  <si>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</si>
  <si>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</si>
  <si>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</si>
  <si>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</si>
  <si>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</si>
  <si>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</si>
  <si>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</si>
  <si>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</si>
  <si>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</si>
  <si>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</si>
  <si>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</si>
  <si>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</si>
  <si>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</si>
  <si>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</si>
  <si>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</si>
  <si>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</si>
  <si>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</si>
  <si>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</si>
  <si>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</si>
  <si>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</si>
  <si>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</si>
  <si>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</si>
  <si>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</si>
  <si>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</si>
  <si>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</si>
  <si>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</si>
  <si>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</si>
  <si>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</si>
  <si>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</si>
  <si>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</si>
  <si>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</si>
  <si>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</si>
  <si>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</si>
  <si>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</si>
  <si>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</si>
  <si>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</si>
  <si>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</si>
  <si>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</si>
  <si>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</si>
  <si>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</si>
  <si>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</si>
  <si>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</si>
  <si>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</si>
  <si>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</si>
  <si>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</si>
  <si>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</si>
  <si>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</si>
  <si>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</si>
  <si>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</si>
  <si>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</si>
  <si>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</si>
  <si>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</si>
  <si>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</si>
  <si>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</si>
  <si>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</si>
  <si>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</si>
  <si>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</si>
  <si>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</si>
  <si>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</si>
  <si>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</si>
  <si>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</si>
  <si>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</si>
  <si>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</si>
  <si>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</si>
  <si>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</si>
  <si>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</si>
  <si>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</si>
  <si>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</si>
  <si>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</si>
  <si>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</si>
  <si>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</si>
  <si>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</si>
  <si>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</si>
  <si>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</si>
  <si>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</si>
  <si>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</si>
  <si>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</si>
  <si>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</si>
  <si>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</si>
  <si>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</si>
  <si>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</si>
  <si>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</si>
  <si>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</si>
  <si>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</si>
  <si>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</si>
  <si>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</si>
  <si>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</si>
  <si>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</si>
  <si>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</si>
  <si>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</si>
  <si>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</si>
  <si>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</si>
  <si>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</si>
  <si>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</si>
  <si>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</si>
  <si>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</si>
  <si>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</si>
  <si>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</si>
  <si>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</si>
  <si>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</si>
  <si>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</si>
  <si>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</si>
  <si>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</si>
  <si>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</si>
  <si>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</si>
  <si>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</si>
  <si>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</si>
  <si>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</si>
  <si>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</si>
  <si>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</si>
  <si>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</si>
  <si>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</si>
  <si>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</si>
  <si>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</si>
  <si>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</si>
  <si>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</si>
  <si>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</si>
  <si>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</si>
  <si>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</si>
  <si>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</si>
  <si>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</si>
  <si>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</si>
  <si>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</si>
  <si>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</si>
  <si>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</si>
  <si>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</si>
  <si>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</si>
  <si>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</si>
  <si>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</si>
  <si>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</si>
  <si>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</si>
  <si>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</si>
  <si>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</si>
  <si>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</si>
  <si>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</si>
  <si>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</si>
  <si>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</si>
  <si>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</si>
  <si>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</si>
  <si>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</si>
  <si>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</si>
  <si>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</si>
  <si>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</si>
  <si>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</si>
  <si>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</si>
  <si>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</si>
  <si>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</si>
  <si>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</si>
  <si>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</si>
  <si>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</si>
  <si>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</si>
  <si>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</si>
  <si>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</si>
  <si>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</si>
  <si>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</si>
  <si>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</si>
  <si>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</si>
  <si>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</si>
  <si>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</si>
  <si>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</si>
  <si>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</si>
  <si>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</si>
  <si>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</si>
  <si>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</si>
  <si>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</si>
  <si>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</si>
  <si>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</si>
  <si>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</si>
  <si>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</si>
  <si>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</si>
  <si>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</si>
  <si>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</si>
  <si>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</si>
  <si>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</si>
  <si>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</si>
  <si>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</si>
  <si>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</si>
  <si>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</si>
  <si>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</si>
  <si>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</si>
  <si>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</si>
  <si>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</si>
  <si>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</si>
  <si>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</si>
  <si>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</si>
  <si>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</si>
  <si>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</si>
  <si>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</si>
  <si>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</si>
  <si>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</si>
  <si>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</si>
  <si>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</si>
  <si>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</si>
  <si>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</si>
  <si>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</si>
  <si>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</si>
  <si>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</si>
  <si>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</si>
  <si>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</si>
  <si>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</si>
  <si>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</si>
  <si>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</si>
  <si>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</si>
  <si>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</si>
  <si>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</si>
  <si>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</si>
  <si>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</si>
  <si>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</si>
  <si>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</si>
  <si>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</si>
  <si>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</si>
  <si>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</si>
  <si>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</si>
  <si>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</si>
  <si>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</si>
  <si>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</si>
  <si>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</si>
  <si>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</si>
  <si>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</si>
  <si>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</si>
  <si>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</si>
  <si>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</si>
  <si>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</si>
  <si>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</si>
  <si>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</si>
  <si>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</si>
  <si>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</si>
  <si>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</si>
  <si>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</si>
  <si>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</si>
  <si>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</si>
  <si>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</si>
  <si>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</si>
  <si>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</si>
  <si>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</si>
  <si>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</si>
  <si>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</si>
  <si>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</si>
  <si>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</si>
  <si>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</si>
  <si>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</si>
  <si>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</si>
  <si>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</si>
  <si>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</si>
  <si>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</si>
  <si>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</si>
  <si>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</si>
  <si>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</si>
  <si>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</si>
  <si>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</si>
  <si>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</si>
  <si>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</si>
  <si>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</si>
  <si>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</si>
  <si>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</si>
  <si>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</si>
  <si>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</si>
  <si>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</si>
  <si>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</si>
  <si>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</si>
  <si>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</si>
  <si>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</si>
  <si>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</si>
  <si>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</si>
  <si>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</si>
  <si>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</si>
  <si>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</si>
  <si>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</si>
  <si>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</si>
  <si>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</si>
  <si>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</si>
  <si>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</si>
  <si>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</si>
  <si>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</si>
  <si>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</si>
  <si>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</si>
  <si>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</si>
  <si>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</si>
  <si>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</si>
  <si>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</si>
  <si>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</si>
  <si>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</si>
  <si>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</si>
  <si>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</si>
  <si>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</si>
  <si>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</si>
  <si>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</si>
  <si>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</si>
  <si>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</si>
  <si>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</si>
  <si>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</si>
  <si>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</si>
  <si>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</si>
  <si>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</si>
  <si>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</si>
  <si>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</si>
  <si>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</si>
  <si>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</si>
  <si>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</si>
  <si>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</si>
  <si>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</si>
  <si>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</si>
  <si>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</si>
  <si>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</si>
  <si>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</si>
  <si>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</si>
  <si>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</si>
  <si>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</si>
  <si>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</si>
  <si>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</si>
  <si>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</si>
  <si>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</si>
  <si>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</si>
  <si>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</si>
  <si>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</si>
  <si>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</si>
  <si>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</si>
  <si>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</si>
  <si>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</si>
  <si>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</si>
  <si>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</si>
  <si>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</si>
  <si>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</si>
  <si>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</si>
  <si>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</si>
  <si>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</si>
  <si>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</si>
  <si>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</si>
  <si>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</si>
  <si>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</si>
  <si>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</si>
  <si>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</si>
  <si>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</si>
  <si>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</si>
  <si>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</si>
  <si>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</si>
  <si>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</si>
  <si>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</si>
  <si>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</si>
  <si>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</si>
  <si>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</si>
  <si>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</si>
  <si>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</si>
  <si>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</si>
  <si>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</si>
  <si>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</si>
  <si>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</si>
  <si>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</si>
  <si>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</si>
  <si>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</si>
  <si>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</si>
  <si>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</si>
  <si>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</si>
  <si>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</si>
  <si>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</si>
  <si>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</si>
  <si>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</si>
  <si>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</si>
  <si>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</si>
  <si>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</si>
  <si>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</si>
  <si>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</si>
  <si>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</si>
  <si>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</si>
  <si>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</si>
  <si>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</si>
  <si>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</si>
  <si>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</si>
  <si>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</si>
  <si>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</si>
  <si>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</si>
  <si>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</si>
  <si>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</si>
  <si>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</si>
  <si>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</si>
  <si>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</si>
  <si>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</si>
  <si>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</si>
  <si>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</si>
  <si>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</si>
  <si>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</si>
  <si>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</si>
  <si>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</si>
  <si>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</si>
  <si>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</si>
  <si>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</si>
  <si>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</si>
  <si>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</si>
  <si>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</si>
  <si>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</si>
  <si>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</si>
  <si>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</si>
  <si>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</si>
  <si>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</si>
  <si>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</si>
  <si>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</si>
  <si>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</si>
  <si>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</si>
  <si>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</si>
  <si>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</si>
  <si>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</si>
  <si>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</si>
  <si>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</si>
  <si>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</si>
  <si>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</si>
  <si>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</si>
  <si>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</si>
  <si>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</si>
  <si>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</si>
  <si>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</si>
  <si>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</si>
  <si>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</si>
  <si>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</si>
  <si>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</si>
  <si>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</si>
  <si>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</si>
  <si>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</si>
  <si>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</si>
  <si>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</si>
  <si>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</si>
  <si>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</si>
  <si>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</si>
  <si>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</si>
  <si>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</si>
  <si>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</si>
  <si>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</si>
  <si>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</si>
  <si>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</si>
  <si>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</si>
  <si>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</si>
  <si>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</si>
  <si>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</si>
  <si>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</si>
  <si>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</si>
  <si>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</si>
  <si>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</si>
  <si>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</si>
  <si>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</si>
  <si>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</si>
  <si>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</si>
  <si>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</si>
  <si>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</si>
  <si>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</si>
  <si>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</si>
  <si>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</si>
  <si>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</si>
  <si>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</si>
  <si>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</si>
  <si>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</si>
  <si>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</si>
  <si>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</si>
  <si>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</si>
  <si>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</si>
  <si>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</si>
  <si>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</si>
  <si>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</si>
  <si>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</si>
  <si>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</si>
  <si>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</si>
  <si>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</si>
  <si>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</si>
  <si>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</si>
  <si>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</si>
  <si>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</si>
  <si>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</si>
  <si>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</si>
  <si>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</si>
  <si>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</si>
  <si>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</si>
  <si>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</si>
  <si>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</si>
  <si>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</si>
  <si>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</si>
  <si>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</si>
  <si>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</si>
  <si>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</si>
  <si>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</si>
  <si>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</si>
  <si>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</si>
  <si>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</si>
  <si>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</si>
  <si>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</si>
  <si>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</si>
  <si>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</si>
  <si>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</si>
  <si>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</si>
  <si>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</si>
  <si>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</si>
  <si>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</si>
  <si>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</si>
  <si>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</si>
  <si>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</si>
  <si>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</si>
  <si>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</si>
  <si>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</si>
  <si>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</si>
  <si>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</si>
  <si>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</si>
  <si>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</si>
  <si>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</si>
  <si>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</si>
  <si>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</si>
  <si>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</si>
  <si>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</si>
  <si>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</si>
  <si>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</si>
  <si>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</si>
  <si>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</si>
  <si>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</si>
  <si>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</si>
  <si>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</si>
  <si>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</si>
  <si>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</si>
  <si>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</si>
  <si>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</si>
  <si>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</si>
  <si>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</si>
  <si>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</si>
  <si>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</si>
  <si>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</si>
  <si>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</si>
  <si>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</si>
  <si>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</si>
  <si>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</si>
  <si>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</si>
  <si>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</si>
  <si>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</si>
  <si>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</si>
  <si>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</si>
  <si>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</si>
  <si>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</si>
  <si>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</si>
  <si>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</si>
  <si>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</si>
  <si>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</si>
  <si>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</si>
  <si>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</si>
  <si>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</si>
  <si>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</si>
  <si>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</si>
  <si>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</si>
  <si>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</si>
  <si>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</si>
  <si>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</si>
  <si>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</si>
  <si>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</si>
  <si>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</si>
  <si>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</si>
  <si>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</si>
  <si>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</si>
  <si>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</si>
  <si>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</si>
  <si>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</si>
  <si>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</si>
  <si>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</si>
  <si>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</si>
  <si>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</si>
  <si>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</si>
  <si>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</si>
  <si>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</si>
  <si>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</si>
  <si>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</si>
  <si>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</si>
  <si>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</si>
  <si>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</si>
  <si>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</si>
  <si>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</si>
  <si>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</si>
  <si>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</si>
  <si>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</si>
  <si>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</si>
  <si>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</si>
  <si>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</si>
  <si>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</si>
  <si>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</si>
  <si>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</si>
  <si>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</si>
  <si>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</si>
  <si>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</si>
  <si>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</si>
  <si>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</si>
  <si>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</si>
  <si>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</si>
  <si>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</si>
  <si>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</si>
  <si>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</si>
  <si>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</si>
  <si>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</si>
  <si>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</si>
  <si>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</si>
  <si>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</si>
  <si>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</si>
  <si>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</si>
  <si>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</si>
  <si>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</si>
  <si>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</si>
  <si>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</si>
  <si>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</si>
  <si>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</si>
  <si>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</si>
  <si>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</si>
  <si>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</si>
  <si>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</si>
  <si>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</si>
  <si>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</si>
  <si>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</si>
  <si>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</si>
  <si>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</si>
  <si>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</si>
  <si>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</si>
  <si>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</si>
  <si>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</si>
  <si>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</si>
  <si>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</si>
  <si>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</si>
  <si>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</si>
  <si>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</si>
  <si>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</si>
  <si>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</si>
  <si>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</si>
  <si>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</si>
  <si>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</si>
  <si>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</si>
  <si>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</si>
  <si>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</si>
  <si>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</si>
  <si>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</si>
  <si>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</si>
  <si>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</si>
  <si>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</si>
  <si>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</si>
  <si>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</si>
  <si>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</si>
  <si>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</si>
  <si>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</si>
  <si>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</si>
  <si>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</si>
  <si>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</si>
  <si>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</si>
  <si>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</si>
  <si>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</si>
  <si>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</si>
  <si>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</si>
  <si>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</si>
  <si>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</si>
  <si>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</si>
  <si>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</si>
  <si>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</si>
  <si>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</si>
  <si>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</si>
  <si>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</si>
  <si>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</si>
  <si>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</si>
  <si>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</si>
  <si>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</si>
  <si>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</si>
  <si>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</si>
  <si>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</si>
  <si>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</si>
  <si>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</si>
  <si>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</si>
  <si>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</si>
  <si>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</si>
  <si>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</si>
  <si>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</si>
  <si>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</si>
  <si>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</si>
  <si>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</si>
  <si>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</si>
  <si>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</si>
  <si>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</si>
  <si>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</si>
  <si>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</si>
  <si>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</si>
  <si>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</si>
  <si>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</si>
  <si>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</si>
  <si>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</si>
  <si>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</si>
  <si>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</si>
  <si>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</si>
  <si>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</si>
  <si>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</si>
  <si>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</si>
  <si>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</si>
  <si>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</si>
  <si>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</si>
  <si>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</si>
  <si>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</si>
  <si>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</si>
  <si>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</si>
  <si>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</si>
  <si>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</si>
  <si>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</si>
  <si>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</si>
  <si>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</si>
  <si>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</si>
  <si>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</si>
  <si>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</si>
  <si>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</si>
  <si>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</si>
  <si>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</si>
  <si>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</si>
  <si>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</si>
  <si>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</si>
  <si>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</si>
  <si>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</si>
  <si>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</si>
  <si>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</si>
  <si>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</si>
  <si>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</si>
  <si>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</si>
  <si>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</si>
  <si>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</si>
  <si>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</si>
  <si>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</si>
  <si>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</si>
  <si>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</si>
  <si>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</si>
  <si>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</si>
  <si>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</si>
  <si>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</si>
  <si>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</si>
  <si>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</si>
  <si>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</si>
  <si>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</si>
  <si>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</si>
  <si>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</si>
  <si>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</si>
  <si>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</si>
  <si>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</si>
  <si>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</si>
  <si>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</si>
  <si>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</si>
  <si>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</si>
  <si>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</si>
  <si>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</si>
  <si>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</si>
  <si>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</si>
  <si>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</si>
  <si>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</si>
  <si>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</si>
  <si>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</si>
  <si>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</si>
  <si>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</si>
  <si>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</si>
  <si>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</si>
  <si>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</si>
  <si>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</si>
  <si>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</si>
  <si>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</si>
  <si>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</si>
  <si>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</si>
  <si>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</si>
  <si>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</si>
  <si>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</si>
  <si>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</si>
  <si>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</si>
  <si>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</si>
  <si>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</si>
  <si>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</si>
  <si>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</si>
  <si>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</si>
  <si>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</si>
  <si>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</si>
  <si>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</si>
  <si>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</si>
  <si>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</si>
  <si>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</si>
  <si>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</si>
  <si>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</si>
  <si>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</si>
  <si>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</si>
  <si>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</si>
  <si>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</si>
  <si>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</si>
  <si>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</si>
  <si>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</si>
  <si>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</si>
  <si>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</si>
  <si>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</si>
  <si>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</si>
  <si>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</si>
  <si>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</si>
  <si>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</si>
  <si>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</si>
  <si>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</si>
  <si>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</si>
  <si>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</si>
  <si>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</si>
  <si>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</si>
  <si>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</si>
  <si>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</si>
  <si>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</si>
  <si>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</si>
  <si>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</si>
  <si>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</si>
  <si>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</si>
  <si>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</si>
  <si>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</si>
  <si>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</si>
  <si>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</si>
  <si>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</si>
  <si>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</si>
  <si>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</si>
  <si>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</si>
  <si>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</si>
  <si>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</si>
  <si>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</si>
  <si>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</si>
  <si>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</si>
  <si>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</si>
  <si>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</si>
  <si>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</si>
  <si>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</si>
  <si>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</si>
  <si>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</si>
  <si>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</si>
  <si>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</si>
  <si>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</si>
  <si>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</si>
  <si>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</si>
  <si>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</si>
  <si>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</si>
  <si>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</si>
  <si>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</si>
  <si>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</si>
  <si>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</si>
  <si>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</si>
  <si>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</si>
  <si>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</si>
  <si>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</si>
  <si>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</si>
  <si>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</si>
  <si>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</si>
  <si>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</si>
  <si>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</si>
  <si>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</si>
  <si>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</si>
  <si>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</si>
  <si>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</si>
  <si>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</si>
  <si>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</si>
  <si>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</si>
  <si>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</si>
  <si>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</si>
  <si>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</si>
  <si>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</si>
  <si>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</si>
  <si>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</si>
  <si>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</si>
  <si>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</si>
  <si>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</si>
  <si>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</si>
  <si>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</si>
  <si>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</si>
  <si>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</si>
  <si>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</si>
  <si>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</si>
  <si>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</si>
  <si>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</si>
  <si>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</si>
  <si>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</si>
  <si>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</si>
  <si>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</si>
  <si>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</si>
  <si>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</si>
  <si>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</si>
  <si>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</si>
  <si>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</si>
  <si>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</si>
  <si>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</si>
  <si>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</si>
  <si>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</si>
  <si>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</si>
  <si>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</si>
  <si>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</si>
  <si>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</si>
  <si>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</si>
  <si>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</si>
  <si>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</si>
  <si>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</si>
  <si>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</si>
  <si>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</si>
  <si>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</si>
  <si>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</si>
  <si>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</si>
  <si>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</si>
  <si>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</si>
  <si>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</si>
  <si>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</si>
  <si>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</si>
  <si>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</si>
  <si>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</si>
  <si>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</si>
  <si>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</si>
  <si>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</si>
  <si>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</si>
  <si>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</si>
  <si>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</si>
  <si>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</si>
  <si>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</si>
  <si>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</si>
  <si>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</si>
  <si>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</si>
  <si>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</si>
  <si>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</si>
  <si>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</si>
  <si>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</si>
  <si>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</si>
  <si>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</si>
  <si>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</si>
  <si>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</si>
  <si>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</si>
  <si>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</si>
  <si>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</si>
  <si>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</si>
  <si>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</si>
  <si>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</si>
  <si>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</si>
  <si>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</si>
  <si>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</si>
  <si>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</si>
  <si>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</si>
  <si>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</si>
  <si>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</si>
  <si>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</si>
  <si>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</si>
  <si>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</si>
  <si>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</si>
  <si>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</si>
  <si>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</si>
  <si>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</si>
  <si>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</si>
  <si>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</si>
  <si>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</si>
  <si>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</si>
  <si>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</si>
  <si>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</si>
  <si>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</si>
  <si>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</si>
  <si>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</si>
  <si>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</si>
  <si>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</si>
  <si>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</si>
  <si>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</si>
  <si>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</si>
  <si>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</si>
  <si>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</si>
  <si>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</si>
  <si>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</si>
  <si>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</si>
  <si>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</si>
  <si>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</si>
  <si>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</si>
  <si>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</si>
  <si>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</si>
  <si>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</si>
  <si>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</si>
  <si>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</si>
  <si>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</si>
  <si>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</si>
  <si>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</si>
  <si>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</si>
  <si>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</si>
  <si>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</si>
  <si>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</si>
  <si>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</si>
  <si>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</si>
  <si>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</si>
  <si>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</si>
  <si>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</si>
  <si>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</si>
  <si>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</si>
  <si>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</si>
  <si>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</si>
  <si>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</si>
  <si>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</si>
  <si>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</si>
  <si>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</si>
  <si>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</si>
  <si>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</si>
  <si>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</si>
  <si>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</si>
  <si>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</si>
  <si>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</si>
  <si>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</si>
  <si>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</si>
  <si>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</si>
  <si>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</si>
  <si>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</si>
  <si>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</si>
  <si>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</si>
  <si>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</si>
  <si>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</si>
  <si>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</si>
  <si>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</si>
  <si>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</si>
  <si>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</si>
  <si>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</si>
  <si>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</si>
  <si>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</si>
  <si>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</si>
  <si>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</si>
  <si>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</si>
  <si>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</si>
  <si>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</si>
  <si>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</si>
  <si>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</si>
  <si>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</si>
  <si>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</si>
  <si>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</si>
  <si>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</si>
  <si>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</si>
  <si>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</si>
  <si>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</si>
  <si>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</si>
  <si>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</si>
  <si>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</si>
  <si>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</si>
  <si>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</si>
  <si>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</si>
  <si>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</si>
  <si>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</si>
  <si>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</si>
  <si>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</si>
  <si>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</si>
  <si>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</si>
  <si>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</si>
  <si>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</si>
  <si>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</si>
  <si>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</si>
  <si>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</si>
  <si>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</si>
  <si>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</si>
  <si>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</si>
  <si>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</si>
  <si>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</si>
  <si>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</si>
  <si>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</si>
  <si>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</si>
  <si>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</si>
  <si>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</si>
  <si>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</si>
  <si>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</si>
  <si>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</si>
  <si>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</si>
  <si>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</si>
  <si>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</si>
  <si>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</si>
  <si>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</si>
  <si>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</si>
  <si>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</si>
  <si>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</si>
  <si>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</si>
  <si>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</si>
  <si>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</si>
  <si>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</si>
  <si>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</si>
  <si>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</si>
  <si>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</si>
  <si>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</si>
  <si>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</si>
  <si>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</si>
  <si>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</si>
  <si>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</si>
  <si>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</si>
  <si>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</si>
  <si>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</si>
  <si>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</si>
  <si>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</si>
  <si>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</si>
  <si>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</si>
  <si>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</si>
  <si>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</si>
  <si>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</si>
  <si>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</si>
  <si>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</si>
  <si>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</si>
  <si>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</si>
  <si>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</si>
  <si>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</si>
  <si>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</si>
  <si>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</si>
  <si>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</si>
  <si>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</si>
  <si>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</si>
  <si>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</si>
  <si>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</si>
  <si>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</si>
  <si>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</si>
  <si>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</si>
  <si>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</si>
  <si>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</si>
  <si>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</si>
  <si>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</si>
  <si>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</si>
  <si>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</si>
  <si>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</si>
  <si>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</si>
  <si>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</si>
  <si>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</si>
  <si>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</si>
  <si>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</si>
  <si>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</si>
  <si>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</si>
  <si>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</si>
  <si>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</si>
  <si>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</si>
  <si>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</si>
  <si>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</si>
  <si>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</si>
  <si>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</si>
  <si>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</si>
  <si>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</si>
  <si>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</si>
  <si>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</si>
  <si>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</si>
  <si>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</si>
  <si>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</si>
  <si>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</si>
  <si>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</si>
  <si>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</si>
  <si>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</si>
  <si>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</si>
  <si>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</si>
  <si>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</si>
  <si>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</si>
  <si>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</si>
  <si>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</si>
  <si>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</si>
  <si>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</si>
  <si>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</si>
  <si>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</si>
  <si>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</si>
  <si>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</si>
  <si>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</si>
  <si>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</si>
  <si>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</si>
  <si>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</si>
  <si>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</si>
  <si>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</si>
  <si>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</si>
  <si>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</si>
  <si>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</si>
  <si>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</si>
  <si>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</si>
  <si>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</si>
  <si>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</si>
  <si>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</si>
  <si>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</si>
  <si>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</si>
  <si>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</si>
  <si>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</si>
  <si>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</si>
  <si>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</si>
  <si>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</si>
  <si>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</si>
  <si>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</si>
  <si>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</si>
  <si>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</si>
  <si>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</si>
  <si>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</si>
  <si>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</si>
  <si>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</si>
  <si>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</si>
  <si>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</si>
  <si>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</si>
  <si>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</si>
  <si>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</si>
  <si>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</si>
  <si>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</si>
  <si>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</si>
  <si>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</si>
  <si>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</si>
  <si>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</si>
  <si>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</si>
  <si>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</si>
  <si>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</si>
  <si>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</si>
  <si>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</si>
  <si>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</si>
  <si>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</si>
  <si>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</si>
  <si>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</si>
  <si>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</si>
  <si>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</si>
  <si>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</si>
  <si>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</si>
  <si>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</si>
  <si>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</si>
  <si>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</si>
  <si>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</si>
  <si>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</si>
  <si>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</si>
  <si>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</si>
  <si>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</si>
  <si>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</si>
  <si>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</si>
  <si>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</si>
  <si>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</si>
  <si>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</si>
  <si>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</si>
  <si>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</si>
  <si>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</si>
  <si>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</si>
  <si>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</si>
  <si>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</si>
  <si>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</si>
  <si>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</si>
  <si>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</si>
  <si>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</si>
  <si>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</si>
  <si>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</si>
  <si>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</si>
  <si>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</si>
  <si>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</si>
  <si>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</si>
  <si>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</si>
  <si>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</si>
  <si>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</si>
  <si>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</si>
  <si>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</si>
  <si>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</si>
  <si>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</si>
  <si>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</si>
  <si>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</si>
  <si>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</si>
  <si>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</si>
  <si>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</si>
  <si>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</si>
  <si>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</si>
  <si>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</si>
  <si>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</si>
  <si>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</si>
  <si>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</si>
  <si>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</si>
  <si>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</si>
  <si>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</si>
  <si>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</si>
  <si>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</si>
  <si>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</si>
  <si>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</si>
  <si>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</si>
  <si>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</si>
  <si>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</si>
  <si>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</si>
  <si>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</si>
  <si>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</si>
  <si>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</si>
  <si>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</si>
  <si>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</si>
  <si>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</si>
  <si>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</si>
  <si>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</si>
  <si>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</si>
  <si>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</si>
  <si>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</si>
  <si>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</si>
  <si>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</si>
  <si>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</si>
  <si>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</si>
  <si>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</si>
  <si>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</si>
  <si>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</si>
  <si>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</si>
  <si>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</si>
  <si>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</si>
  <si>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</si>
  <si>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</si>
  <si>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</si>
  <si>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</si>
  <si>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</si>
  <si>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</si>
  <si>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</si>
  <si>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</si>
  <si>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</si>
  <si>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</si>
  <si>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</si>
  <si>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</si>
  <si>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</si>
  <si>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</si>
  <si>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</si>
  <si>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</si>
  <si>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</si>
  <si>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</si>
  <si>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</si>
  <si>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</si>
  <si>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</si>
  <si>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</si>
  <si>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</si>
  <si>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</si>
  <si>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</si>
  <si>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</si>
  <si>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</si>
  <si>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</si>
  <si>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</si>
  <si>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</si>
  <si>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</si>
  <si>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</si>
  <si>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</si>
  <si>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</si>
  <si>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</si>
  <si>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</si>
  <si>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</si>
  <si>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</si>
  <si>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</si>
  <si>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</si>
  <si>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</si>
  <si>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</si>
  <si>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</si>
  <si>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</si>
  <si>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</si>
  <si>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</si>
  <si>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</si>
  <si>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</si>
  <si>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</si>
  <si>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</si>
  <si>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</si>
  <si>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</si>
  <si>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</si>
  <si>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</si>
  <si>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</si>
  <si>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</si>
  <si>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</si>
  <si>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</si>
  <si>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</si>
  <si>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</si>
  <si>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</si>
  <si>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</si>
  <si>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</si>
  <si>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</si>
  <si>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</si>
  <si>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</si>
  <si>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</si>
  <si>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</si>
  <si>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</si>
  <si>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</si>
  <si>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</si>
  <si>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</si>
  <si>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</si>
  <si>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</si>
  <si>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</si>
  <si>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</si>
  <si>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</si>
  <si>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</si>
  <si>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</si>
  <si>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</si>
  <si>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</si>
  <si>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</si>
  <si>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</si>
  <si>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</si>
  <si>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</si>
  <si>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</si>
  <si>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</si>
  <si>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</si>
  <si>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</si>
  <si>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</si>
  <si>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</si>
  <si>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</si>
  <si>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</si>
  <si>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</si>
  <si>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</si>
  <si>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</si>
  <si>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</si>
  <si>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</si>
  <si>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</si>
  <si>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</si>
  <si>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</si>
  <si>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</si>
  <si>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</si>
  <si>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</si>
  <si>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</si>
  <si>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</si>
  <si>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</si>
  <si>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</si>
  <si>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</si>
  <si>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</si>
  <si>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</si>
  <si>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</si>
  <si>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</si>
  <si>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</si>
  <si>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</si>
  <si>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</si>
  <si>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</si>
  <si>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</si>
  <si>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</si>
  <si>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</si>
  <si>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</si>
  <si>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</si>
  <si>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</si>
  <si>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</si>
  <si>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</si>
  <si>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</si>
  <si>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</si>
  <si>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</si>
  <si>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</si>
  <si>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</si>
  <si>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</si>
  <si>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</si>
  <si>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</si>
  <si>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</si>
  <si>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</si>
  <si>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</si>
  <si>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</si>
  <si>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</si>
  <si>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</si>
  <si>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</si>
  <si>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</si>
  <si>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</si>
  <si>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</si>
  <si>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</si>
  <si>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</si>
  <si>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</si>
  <si>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</si>
  <si>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</si>
  <si>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</si>
  <si>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</si>
  <si>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</si>
  <si>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</si>
  <si>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</si>
  <si>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</si>
  <si>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</si>
  <si>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</si>
  <si>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</si>
  <si>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</si>
  <si>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</si>
  <si>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</si>
  <si>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</si>
  <si>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</si>
  <si>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</si>
  <si>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</si>
  <si>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</si>
  <si>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</si>
  <si>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</si>
  <si>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</si>
  <si>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</si>
  <si>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</si>
  <si>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</si>
  <si>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</si>
  <si>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</si>
  <si>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</si>
  <si>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</si>
  <si>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</si>
  <si>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</si>
  <si>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</si>
  <si>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</si>
  <si>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</si>
  <si>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</si>
  <si>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</si>
  <si>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</si>
  <si>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</si>
  <si>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</si>
  <si>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</si>
  <si>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</si>
  <si>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</si>
  <si>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</si>
  <si>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</si>
  <si>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</si>
  <si>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</si>
  <si>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</si>
  <si>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</si>
  <si>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</si>
  <si>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</si>
  <si>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</si>
  <si>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</si>
  <si>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</si>
  <si>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</si>
  <si>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</si>
  <si>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</si>
  <si>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</si>
  <si>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</si>
  <si>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</si>
  <si>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</si>
  <si>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</si>
  <si>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</si>
  <si>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</si>
  <si>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</si>
  <si>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</si>
  <si>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</si>
  <si>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</si>
  <si>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</si>
  <si>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</si>
  <si>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</si>
  <si>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</si>
  <si>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</si>
  <si>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</si>
  <si>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</si>
  <si>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</si>
  <si>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</si>
  <si>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</si>
  <si>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</si>
  <si>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</si>
  <si>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</si>
  <si>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</si>
  <si>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</si>
  <si>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</si>
  <si>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</si>
  <si>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</si>
  <si>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</si>
  <si>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</si>
  <si>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</si>
  <si>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</si>
  <si>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</si>
  <si>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</si>
  <si>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</si>
  <si>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</si>
  <si>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</si>
  <si>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</si>
  <si>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</si>
  <si>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</si>
  <si>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</si>
  <si>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</si>
  <si>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</si>
  <si>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</si>
  <si>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</si>
  <si>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</si>
  <si>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</si>
  <si>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</si>
  <si>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</si>
  <si>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</si>
  <si>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</si>
  <si>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</si>
  <si>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</si>
  <si>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</si>
  <si>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</si>
  <si>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</si>
  <si>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</si>
  <si>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</si>
  <si>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</si>
  <si>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</si>
  <si>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</si>
  <si>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</si>
  <si>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</si>
  <si>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</si>
  <si>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</si>
  <si>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</si>
  <si>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</si>
  <si>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</si>
  <si>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</si>
  <si>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</si>
  <si>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</si>
  <si>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</si>
  <si>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</si>
  <si>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</si>
  <si>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</si>
  <si>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</si>
  <si>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</si>
  <si>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</si>
  <si>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</si>
  <si>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</si>
  <si>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</si>
  <si>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</si>
  <si>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</si>
  <si>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</si>
  <si>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</si>
  <si>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</si>
  <si>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</si>
  <si>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</si>
  <si>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</si>
  <si>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</si>
  <si>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</si>
  <si>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</si>
  <si>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</si>
  <si>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</si>
  <si>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</si>
  <si>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</si>
  <si>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</si>
  <si>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</si>
  <si>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</si>
  <si>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</si>
  <si>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</si>
  <si>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</si>
  <si>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</si>
  <si>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</si>
  <si>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</si>
  <si>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</si>
  <si>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</si>
  <si>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</si>
  <si>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</si>
  <si>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</si>
  <si>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</si>
  <si>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</si>
  <si>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</si>
  <si>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</si>
  <si>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</si>
  <si>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</si>
  <si>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</si>
  <si>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</si>
  <si>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</si>
  <si>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</si>
  <si>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</si>
  <si>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</si>
  <si>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</si>
  <si>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</si>
  <si>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</si>
  <si>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</si>
  <si>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</si>
  <si>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</si>
  <si>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</si>
  <si>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</si>
  <si>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</si>
  <si>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</si>
  <si>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</si>
  <si>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</si>
  <si>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</si>
  <si>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</si>
  <si>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</si>
  <si>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</si>
  <si>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</si>
  <si>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</si>
  <si>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</si>
  <si>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</si>
  <si>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</si>
  <si>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</si>
  <si>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</si>
  <si>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</si>
  <si>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</si>
  <si>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</si>
  <si>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</si>
  <si>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</si>
  <si>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</si>
  <si>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</si>
  <si>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</si>
  <si>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</si>
  <si>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</si>
  <si>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</si>
  <si>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</si>
  <si>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</si>
  <si>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</si>
  <si>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</si>
  <si>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</si>
  <si>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</si>
  <si>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</si>
  <si>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</si>
  <si>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</si>
  <si>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</si>
  <si>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</si>
  <si>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</si>
  <si>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</si>
  <si>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</si>
  <si>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</si>
  <si>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</si>
  <si>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</si>
  <si>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</si>
  <si>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</si>
  <si>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</si>
  <si>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</si>
  <si>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</si>
  <si>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</si>
  <si>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</si>
  <si>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</si>
  <si>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</si>
  <si>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</si>
  <si>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</si>
  <si>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</si>
  <si>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</si>
  <si>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</si>
  <si>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</si>
  <si>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</si>
  <si>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</si>
  <si>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</si>
  <si>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</si>
  <si>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</si>
  <si>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</si>
  <si>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</si>
  <si>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</si>
  <si>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</si>
  <si>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</si>
  <si>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</si>
  <si>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</si>
  <si>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</si>
  <si>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</si>
  <si>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</si>
  <si>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</si>
  <si>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</si>
  <si>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</si>
  <si>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</si>
  <si>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</si>
  <si>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</si>
  <si>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</si>
  <si>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</si>
  <si>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</si>
  <si>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</si>
  <si>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</si>
  <si>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</si>
  <si>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</si>
  <si>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</si>
  <si>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</si>
  <si>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</si>
  <si>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</si>
  <si>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</si>
  <si>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</si>
  <si>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</si>
  <si>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</si>
  <si>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</si>
  <si>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</si>
  <si>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</si>
  <si>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</si>
  <si>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</si>
  <si>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</si>
  <si>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</si>
  <si>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</si>
  <si>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</si>
  <si>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</si>
  <si>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</si>
  <si>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</si>
  <si>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</si>
  <si>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</si>
  <si>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</si>
  <si>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</si>
  <si>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</si>
  <si>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</si>
  <si>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</si>
  <si>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</si>
  <si>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</si>
  <si>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</si>
  <si>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</si>
  <si>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</si>
  <si>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</si>
  <si>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</si>
  <si>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</si>
  <si>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</si>
  <si>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</si>
  <si>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</si>
  <si>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</si>
  <si>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</si>
  <si>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</si>
  <si>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</si>
  <si>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</si>
  <si>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</si>
  <si>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</si>
  <si>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</si>
  <si>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</si>
  <si>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</si>
  <si>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</si>
  <si>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</si>
  <si>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</si>
  <si>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</si>
  <si>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</si>
  <si>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</si>
  <si>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</si>
  <si>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</si>
  <si>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</si>
  <si>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</si>
  <si>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</si>
  <si>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</si>
  <si>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</si>
  <si>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</si>
  <si>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</si>
  <si>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</si>
  <si>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</si>
  <si>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</si>
  <si>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</si>
  <si>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</si>
  <si>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</si>
  <si>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</si>
  <si>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</si>
  <si>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</si>
  <si>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</si>
  <si>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</si>
  <si>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</si>
  <si>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</si>
  <si>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</si>
  <si>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</si>
  <si>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</si>
  <si>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</si>
  <si>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</si>
  <si>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</si>
  <si>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</si>
  <si>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</si>
  <si>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</si>
  <si>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</si>
  <si>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</si>
  <si>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</si>
  <si>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</si>
  <si>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</si>
  <si>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</si>
  <si>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</si>
  <si>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</si>
  <si>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</si>
  <si>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</si>
  <si>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</si>
  <si>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</si>
  <si>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</si>
  <si>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</si>
  <si>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</si>
  <si>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</si>
  <si>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</si>
  <si>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</si>
  <si>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</si>
  <si>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</si>
  <si>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</si>
  <si>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</si>
  <si>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</si>
  <si>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</si>
  <si>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</si>
  <si>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</si>
  <si>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</si>
  <si>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</si>
  <si>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</si>
  <si>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</si>
  <si>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</si>
  <si>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</si>
  <si>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</si>
  <si>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</si>
  <si>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</si>
  <si>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</si>
  <si>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</si>
  <si>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</si>
  <si>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</si>
  <si>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</si>
  <si>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</si>
  <si>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</si>
  <si>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</si>
  <si>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</si>
  <si>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</si>
  <si>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</si>
  <si>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</si>
  <si>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</si>
  <si>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</si>
  <si>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</si>
  <si>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</si>
  <si>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</si>
  <si>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</si>
  <si>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</si>
  <si>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</si>
  <si>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</si>
  <si>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</si>
  <si>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</si>
  <si>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</si>
  <si>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</si>
  <si>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</si>
  <si>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</si>
  <si>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</si>
  <si>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</si>
  <si>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</si>
  <si>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</si>
  <si>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</si>
  <si>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</si>
  <si>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</si>
  <si>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</si>
  <si>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</si>
  <si>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</si>
  <si>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</si>
  <si>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</si>
  <si>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</si>
  <si>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</si>
  <si>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</si>
  <si>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</si>
  <si>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</si>
  <si>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</si>
  <si>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</si>
  <si>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</si>
  <si>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</si>
  <si>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</si>
  <si>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</si>
  <si>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</si>
  <si>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</si>
  <si>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</si>
  <si>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</si>
  <si>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</si>
  <si>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</si>
  <si>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</si>
  <si>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</si>
  <si>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</si>
  <si>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</si>
  <si>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</si>
  <si>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</si>
  <si>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</si>
  <si>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</si>
  <si>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</si>
  <si>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</si>
  <si>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</si>
  <si>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</si>
  <si>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</si>
  <si>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</si>
  <si>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</si>
  <si>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</si>
  <si>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</si>
  <si>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</si>
  <si>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</si>
  <si>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</si>
  <si>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</si>
  <si>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</si>
  <si>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</si>
  <si>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</si>
  <si>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</si>
  <si>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</si>
  <si>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</si>
  <si>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</si>
  <si>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</si>
  <si>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</si>
  <si>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</si>
  <si>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</si>
  <si>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</si>
  <si>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</si>
  <si>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</si>
  <si>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</si>
  <si>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</si>
  <si>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</si>
  <si>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</si>
  <si>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</si>
  <si>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</si>
  <si>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</si>
  <si>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</si>
  <si>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</si>
  <si>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</si>
  <si>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</si>
  <si>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</si>
  <si>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</si>
  <si>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</si>
  <si>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</si>
  <si>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</si>
  <si>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</si>
  <si>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</si>
  <si>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</si>
  <si>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</si>
  <si>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</si>
  <si>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</si>
  <si>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</si>
  <si>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</si>
  <si>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</si>
  <si>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</si>
  <si>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</si>
  <si>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</si>
  <si>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</si>
  <si>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</si>
  <si>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</si>
  <si>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</si>
  <si>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</si>
  <si>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</si>
  <si>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</si>
  <si>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</si>
  <si>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</si>
  <si>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</si>
  <si>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</si>
  <si>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</si>
  <si>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</si>
  <si>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</si>
  <si>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</si>
  <si>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</si>
  <si>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</si>
  <si>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</si>
  <si>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</si>
  <si>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</si>
  <si>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</si>
  <si>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</si>
  <si>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</si>
  <si>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</si>
  <si>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</si>
  <si>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</si>
  <si>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</si>
  <si>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</si>
  <si>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</si>
  <si>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</si>
  <si>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</si>
  <si>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</si>
  <si>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</si>
  <si>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</si>
  <si>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</si>
  <si>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</si>
  <si>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</si>
  <si>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</si>
  <si>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</si>
  <si>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</si>
  <si>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</si>
  <si>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</si>
  <si>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</si>
  <si>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</si>
  <si>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</si>
  <si>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</si>
  <si>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</si>
  <si>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</si>
  <si>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</si>
  <si>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</si>
  <si>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</si>
  <si>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</si>
  <si>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</si>
  <si>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</si>
  <si>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</si>
  <si>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</si>
  <si>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</si>
  <si>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</si>
  <si>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</si>
  <si>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</si>
  <si>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</si>
  <si>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</si>
  <si>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</si>
  <si>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</si>
  <si>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</si>
  <si>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</si>
  <si>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</si>
  <si>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</si>
  <si>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</si>
  <si>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</si>
  <si>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</si>
  <si>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</si>
  <si>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</si>
  <si>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</si>
  <si>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</si>
  <si>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</si>
  <si>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</si>
  <si>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</si>
  <si>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</si>
  <si>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</si>
  <si>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</si>
  <si>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</si>
  <si>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</si>
  <si>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</si>
  <si>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</si>
  <si>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</si>
  <si>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</si>
  <si>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</si>
  <si>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</si>
  <si>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</si>
  <si>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</si>
  <si>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</si>
  <si>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</si>
  <si>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</si>
  <si>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</si>
  <si>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</si>
  <si>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</si>
  <si>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</si>
  <si>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</si>
  <si>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</si>
  <si>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</si>
  <si>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</si>
  <si>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</si>
  <si>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</si>
  <si>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</si>
  <si>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</si>
  <si>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</si>
  <si>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</si>
  <si>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</si>
  <si>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</si>
  <si>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</si>
  <si>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</si>
  <si>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</si>
  <si>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</si>
  <si>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</si>
  <si>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</si>
  <si>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</si>
  <si>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</si>
  <si>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</si>
  <si>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</si>
  <si>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</si>
  <si>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</si>
  <si>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</si>
  <si>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</si>
  <si>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</si>
  <si>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</si>
  <si>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</si>
  <si>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</si>
  <si>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</si>
  <si>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</si>
  <si>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</si>
  <si>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</si>
  <si>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</si>
  <si>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</si>
  <si>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</si>
  <si>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</si>
  <si>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</si>
  <si>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</si>
  <si>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</si>
  <si>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</si>
  <si>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</si>
  <si>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</si>
  <si>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</si>
  <si>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</si>
  <si>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</si>
  <si>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</si>
  <si>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</si>
  <si>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</si>
  <si>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</si>
  <si>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</si>
  <si>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</si>
  <si>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</si>
  <si>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</si>
  <si>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</si>
  <si>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</si>
  <si>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</si>
  <si>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</si>
  <si>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</si>
  <si>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</si>
  <si>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</si>
  <si>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</si>
  <si>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</si>
  <si>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</si>
  <si>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</si>
  <si>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</si>
  <si>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</si>
  <si>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</si>
  <si>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</si>
  <si>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</si>
  <si>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</si>
  <si>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</si>
  <si>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</si>
  <si>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</si>
  <si>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</si>
  <si>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</si>
  <si>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</si>
  <si>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</si>
  <si>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</si>
  <si>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</si>
  <si>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</si>
  <si>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</si>
  <si>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</si>
  <si>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</si>
  <si>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</si>
  <si>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</si>
  <si>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</si>
  <si>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</si>
  <si>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</si>
  <si>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</si>
  <si>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</si>
  <si>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</si>
  <si>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</si>
  <si>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</si>
  <si>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</si>
  <si>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</si>
  <si>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</si>
  <si>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</si>
  <si>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</si>
  <si>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</si>
  <si>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</si>
  <si>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</si>
  <si>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</si>
  <si>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</si>
  <si>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</si>
  <si>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</si>
  <si>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</si>
  <si>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</si>
  <si>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</si>
  <si>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</si>
  <si>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</si>
  <si>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</si>
  <si>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</si>
  <si>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</si>
  <si>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</si>
  <si>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</si>
  <si>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</si>
  <si>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</si>
  <si>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</si>
  <si>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</si>
  <si>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</si>
  <si>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</si>
  <si>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</si>
  <si>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</si>
  <si>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</si>
  <si>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</si>
  <si>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</si>
  <si>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</si>
  <si>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</si>
  <si>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</si>
  <si>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</si>
  <si>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</si>
  <si>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</si>
  <si>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</si>
  <si>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</si>
  <si>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</si>
  <si>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</si>
  <si>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</si>
  <si>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</si>
  <si>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</si>
  <si>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</si>
  <si>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</si>
  <si>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</si>
  <si>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</si>
  <si>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</si>
  <si>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</si>
  <si>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</si>
  <si>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</si>
  <si>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</si>
  <si>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</si>
  <si>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</si>
  <si>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</si>
  <si>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</si>
  <si>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</si>
  <si>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</si>
  <si>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</si>
  <si>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</si>
  <si>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</si>
  <si>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</si>
  <si>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</si>
  <si>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</si>
  <si>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</si>
  <si>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</si>
  <si>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</si>
  <si>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</si>
  <si>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</si>
  <si>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</si>
  <si>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</si>
  <si>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</si>
  <si>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</si>
  <si>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</si>
  <si>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</si>
  <si>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</si>
  <si>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</si>
  <si>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</si>
  <si>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</si>
  <si>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</si>
  <si>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</si>
  <si>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</si>
  <si>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</si>
  <si>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</si>
  <si>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</si>
  <si>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</si>
  <si>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</si>
  <si>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</si>
  <si>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</si>
  <si>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</si>
  <si>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</si>
  <si>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</si>
  <si>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</si>
  <si>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</si>
  <si>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</si>
  <si>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</si>
  <si>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</si>
  <si>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</si>
  <si>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</si>
  <si>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</si>
  <si>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</si>
  <si>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</si>
  <si>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</si>
  <si>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</si>
  <si>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</si>
  <si>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</si>
  <si>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</si>
  <si>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</si>
  <si>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</si>
  <si>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</si>
  <si>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</si>
  <si>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</si>
  <si>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</si>
  <si>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</si>
  <si>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</si>
  <si>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</si>
  <si>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</si>
  <si>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</si>
  <si>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</si>
  <si>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</si>
  <si>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</si>
  <si>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</si>
  <si>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</si>
  <si>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</si>
  <si>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</si>
  <si>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</si>
  <si>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</si>
  <si>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</si>
  <si>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</si>
  <si>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</si>
  <si>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</si>
  <si>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</si>
  <si>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</si>
  <si>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</si>
  <si>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</si>
  <si>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</si>
  <si>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</si>
  <si>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</si>
  <si>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</si>
  <si>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</si>
  <si>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</si>
  <si>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</si>
  <si>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</si>
  <si>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</si>
  <si>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</si>
  <si>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</si>
  <si>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</si>
  <si>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</si>
  <si>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</si>
  <si>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</si>
  <si>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</si>
  <si>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</si>
  <si>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</si>
  <si>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</si>
  <si>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</si>
  <si>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</si>
  <si>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</si>
  <si>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</si>
  <si>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</si>
  <si>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</si>
  <si>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</si>
  <si>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</si>
  <si>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</si>
  <si>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</si>
  <si>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</si>
  <si>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</si>
  <si>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</si>
  <si>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</si>
  <si>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</si>
  <si>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</si>
  <si>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</si>
  <si>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</si>
  <si>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</si>
  <si>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</si>
  <si>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</si>
  <si>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</si>
  <si>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</si>
  <si>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</si>
  <si>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</si>
  <si>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</si>
  <si>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</si>
  <si>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</si>
  <si>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</si>
  <si>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</si>
  <si>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</si>
  <si>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</si>
  <si>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</si>
  <si>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</si>
  <si>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</si>
  <si>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</si>
  <si>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</si>
  <si>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</si>
  <si>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</si>
  <si>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</si>
  <si>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</si>
  <si>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</si>
  <si>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</si>
  <si>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</si>
  <si>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</si>
  <si>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</si>
  <si>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</si>
  <si>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</si>
  <si>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</si>
  <si>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</si>
  <si>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</si>
  <si>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</si>
  <si>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</si>
  <si>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</si>
  <si>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</si>
  <si>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</si>
  <si>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</si>
  <si>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</si>
  <si>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</si>
  <si>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</si>
  <si>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</si>
  <si>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</si>
  <si>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</si>
  <si>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</si>
  <si>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</si>
  <si>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</si>
  <si>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</si>
  <si>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</si>
  <si>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</si>
  <si>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</si>
  <si>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</si>
  <si>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</si>
  <si>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</si>
  <si>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</si>
  <si>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</si>
  <si>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</si>
  <si>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</si>
  <si>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</si>
  <si>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</si>
  <si>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</si>
  <si>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</si>
  <si>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</si>
  <si>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</si>
  <si>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</si>
  <si>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</si>
  <si>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</si>
  <si>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</si>
  <si>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</si>
  <si>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</si>
  <si>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</si>
  <si>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</si>
  <si>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</si>
  <si>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</si>
  <si>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</si>
  <si>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</si>
  <si>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</si>
  <si>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</si>
  <si>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</si>
  <si>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</si>
  <si>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</si>
  <si>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</si>
  <si>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</si>
  <si>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</si>
  <si>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</si>
  <si>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</si>
  <si>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</si>
  <si>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</si>
  <si>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</si>
  <si>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</si>
  <si>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</si>
  <si>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</si>
  <si>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</si>
  <si>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</si>
  <si>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</si>
  <si>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</si>
  <si>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</si>
  <si>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</si>
  <si>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</si>
  <si>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</si>
  <si>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</si>
  <si>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</si>
  <si>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</si>
  <si>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</si>
  <si>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</si>
  <si>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</si>
  <si>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</si>
  <si>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</si>
  <si>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</si>
  <si>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</si>
  <si>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</si>
  <si>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</si>
  <si>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</si>
  <si>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</si>
  <si>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</si>
  <si>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</si>
  <si>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</si>
  <si>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</si>
  <si>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</si>
  <si>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</si>
  <si>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</si>
  <si>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</si>
  <si>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</si>
  <si>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</si>
  <si>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</si>
  <si>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</si>
  <si>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</si>
  <si>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</si>
  <si>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</si>
  <si>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</si>
  <si>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</si>
  <si>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</si>
  <si>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</si>
  <si>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</si>
  <si>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</si>
  <si>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</si>
  <si>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</si>
  <si>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</si>
  <si>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</si>
  <si>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</si>
  <si>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</si>
  <si>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</si>
  <si>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</si>
  <si>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</si>
  <si>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</si>
  <si>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</si>
  <si>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</si>
  <si>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</si>
  <si>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</si>
  <si>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</si>
  <si>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</si>
  <si>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</si>
  <si>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</si>
  <si>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</si>
  <si>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</si>
  <si>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</si>
  <si>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</si>
  <si>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</si>
  <si>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</si>
  <si>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</si>
  <si>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</si>
  <si>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</si>
  <si>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</si>
  <si>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</si>
  <si>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</si>
  <si>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</si>
  <si>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</si>
  <si>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</si>
  <si>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</si>
  <si>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</si>
  <si>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</si>
  <si>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</si>
  <si>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</si>
  <si>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</si>
  <si>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</si>
  <si>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</si>
  <si>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</si>
  <si>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</si>
  <si>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</si>
  <si>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</si>
  <si>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</si>
  <si>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</si>
  <si>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</si>
  <si>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</si>
  <si>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</si>
  <si>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</si>
  <si>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</si>
  <si>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</si>
  <si>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</si>
  <si>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</si>
  <si>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</si>
  <si>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</si>
  <si>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</si>
  <si>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</si>
  <si>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</si>
  <si>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</si>
  <si>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</si>
  <si>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</si>
  <si>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</si>
  <si>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</si>
  <si>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</si>
  <si>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</si>
  <si>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</si>
  <si>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</si>
  <si>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</si>
  <si>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</si>
  <si>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</si>
  <si>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</si>
  <si>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</si>
  <si>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</si>
  <si>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</si>
  <si>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</si>
  <si>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</si>
  <si>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</si>
  <si>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</si>
  <si>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</si>
  <si>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</si>
  <si>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</si>
  <si>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</si>
  <si>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</si>
  <si>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</si>
  <si>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</si>
  <si>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</si>
  <si>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</si>
  <si>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</si>
  <si>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</si>
  <si>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</si>
  <si>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</si>
  <si>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</si>
  <si>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</si>
  <si>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</si>
  <si>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</si>
  <si>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</si>
  <si>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</si>
  <si>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</si>
  <si>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</si>
  <si>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</si>
  <si>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</si>
  <si>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</si>
  <si>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</si>
  <si>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</si>
  <si>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</si>
  <si>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</si>
  <si>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</si>
  <si>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</si>
  <si>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</si>
  <si>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</si>
  <si>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</si>
  <si>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</si>
  <si>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</si>
  <si>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</si>
  <si>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</si>
  <si>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</si>
  <si>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</si>
  <si>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</si>
  <si>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</si>
  <si>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</si>
  <si>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</si>
  <si>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</si>
  <si>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</si>
  <si>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</si>
  <si>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</si>
  <si>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</si>
  <si>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</si>
  <si>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</si>
  <si>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</si>
  <si>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</si>
  <si>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</si>
  <si>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</si>
  <si>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</si>
  <si>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</si>
  <si>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</si>
  <si>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</si>
  <si>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</si>
  <si>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</si>
  <si>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</si>
  <si>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</si>
  <si>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</si>
  <si>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</si>
  <si>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</si>
  <si>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</si>
  <si>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</si>
  <si>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</si>
  <si>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</si>
  <si>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</si>
  <si>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</si>
  <si>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</si>
  <si>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</si>
  <si>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</si>
  <si>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</si>
  <si>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</si>
  <si>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</si>
  <si>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</si>
  <si>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</si>
  <si>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</si>
  <si>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</si>
  <si>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</si>
  <si>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</si>
  <si>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</si>
  <si>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</si>
  <si>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</si>
  <si>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</si>
  <si>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</si>
  <si>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</si>
  <si>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</si>
  <si>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</si>
  <si>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</si>
  <si>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</si>
  <si>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</si>
  <si>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</si>
  <si>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</si>
  <si>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</si>
  <si>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</si>
  <si>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</si>
  <si>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</si>
  <si>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</si>
  <si>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</si>
  <si>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</si>
  <si>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</si>
  <si>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</si>
  <si>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</si>
  <si>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</si>
  <si>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</si>
  <si>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</si>
  <si>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</si>
  <si>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</si>
  <si>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</si>
  <si>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</si>
  <si>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</si>
  <si>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</si>
  <si>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</si>
  <si>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</si>
  <si>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</si>
  <si>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</si>
  <si>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</si>
  <si>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</si>
  <si>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</si>
  <si>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</si>
  <si>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</si>
  <si>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</si>
  <si>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</si>
  <si>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</si>
  <si>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</si>
  <si>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</si>
  <si>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</si>
  <si>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</si>
  <si>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</si>
  <si>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</si>
  <si>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</si>
  <si>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</si>
  <si>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</si>
  <si>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</si>
  <si>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</si>
  <si>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</si>
  <si>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</si>
  <si>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</si>
  <si>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</si>
  <si>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</si>
  <si>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</si>
  <si>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</si>
  <si>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</si>
  <si>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</si>
  <si>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</si>
  <si>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</si>
  <si>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</si>
  <si>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</si>
  <si>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</si>
  <si>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</si>
  <si>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</si>
  <si>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</si>
  <si>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</si>
  <si>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</si>
  <si>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</si>
  <si>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</si>
  <si>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</si>
  <si>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</si>
  <si>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</si>
  <si>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</si>
  <si>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</si>
  <si>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</si>
  <si>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</si>
  <si>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</si>
  <si>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</si>
  <si>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</si>
  <si>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</si>
  <si>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</si>
  <si>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</si>
  <si>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</si>
  <si>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</si>
  <si>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</si>
  <si>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</si>
  <si>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</si>
  <si>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</si>
  <si>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</si>
  <si>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</si>
  <si>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</si>
  <si>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</si>
  <si>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</si>
  <si>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</si>
  <si>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</si>
  <si>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</si>
  <si>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</si>
  <si>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</si>
  <si>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</si>
  <si>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</si>
  <si>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</si>
  <si>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</si>
  <si>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</si>
  <si>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</si>
  <si>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</si>
  <si>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</si>
  <si>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</si>
  <si>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</si>
  <si>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</si>
  <si>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</si>
  <si>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</si>
  <si>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</si>
  <si>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</si>
  <si>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</si>
  <si>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</si>
  <si>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</si>
  <si>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</si>
  <si>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</si>
  <si>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</si>
  <si>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</si>
  <si>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</si>
  <si>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</si>
  <si>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</si>
  <si>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</si>
  <si>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</si>
  <si>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</si>
  <si>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</si>
  <si>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</si>
  <si>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</si>
  <si>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</si>
  <si>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</si>
  <si>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</si>
  <si>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</si>
  <si>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</si>
  <si>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</si>
  <si>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</si>
  <si>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</si>
  <si>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</si>
  <si>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</si>
  <si>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</si>
  <si>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</si>
  <si>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</si>
  <si>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</si>
  <si>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</si>
  <si>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</si>
  <si>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</si>
  <si>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</si>
  <si>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</si>
  <si>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</si>
  <si>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</si>
  <si>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</si>
  <si>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</si>
  <si>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</si>
  <si>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</si>
  <si>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</si>
  <si>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</si>
  <si>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</si>
  <si>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</si>
  <si>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</si>
  <si>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</si>
  <si>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</si>
  <si>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</si>
  <si>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</si>
  <si>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</si>
  <si>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</si>
  <si>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</si>
  <si>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</si>
  <si>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</si>
  <si>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</si>
  <si>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</si>
  <si>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</si>
  <si>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</si>
  <si>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</si>
  <si>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</si>
  <si>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</si>
  <si>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</si>
  <si>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</si>
  <si>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</si>
  <si>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</si>
  <si>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</si>
  <si>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</si>
  <si>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</si>
  <si>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</si>
  <si>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</si>
  <si>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</si>
  <si>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</si>
  <si>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</si>
  <si>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</si>
  <si>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</si>
  <si>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</si>
  <si>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</si>
  <si>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</si>
  <si>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</si>
  <si>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</si>
  <si>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</si>
  <si>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</si>
  <si>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</si>
  <si>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</si>
  <si>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</si>
  <si>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</si>
  <si>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</si>
  <si>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</si>
  <si>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</si>
  <si>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</si>
  <si>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</si>
  <si>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</si>
  <si>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</si>
  <si>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</si>
  <si>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</si>
  <si>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</si>
  <si>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</si>
  <si>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</si>
  <si>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</si>
  <si>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</si>
  <si>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</si>
  <si>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</si>
  <si>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</si>
  <si>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</si>
  <si>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</si>
  <si>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</si>
  <si>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</si>
  <si>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</si>
  <si>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</si>
  <si>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</si>
  <si>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</si>
  <si>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</si>
  <si>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</si>
  <si>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</si>
  <si>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</si>
  <si>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</si>
  <si>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</si>
  <si>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</si>
  <si>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</si>
  <si>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</si>
  <si>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</si>
  <si>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</si>
  <si>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</si>
  <si>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</si>
  <si>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</si>
  <si>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</si>
  <si>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</si>
  <si>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</si>
  <si>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</si>
  <si>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</si>
  <si>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</si>
  <si>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</si>
  <si>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</si>
  <si>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</si>
  <si>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</si>
  <si>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</si>
  <si>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</si>
  <si>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</si>
  <si>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</si>
  <si>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</si>
  <si>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</si>
  <si>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</si>
  <si>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</si>
  <si>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</si>
  <si>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</si>
  <si>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</si>
  <si>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</si>
  <si>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</si>
  <si>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</si>
  <si>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</si>
  <si>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</si>
  <si>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</si>
  <si>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</si>
  <si>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</si>
  <si>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</si>
  <si>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</si>
  <si>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</si>
  <si>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</si>
  <si>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</si>
  <si>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</si>
  <si>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</si>
  <si>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</si>
  <si>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</si>
  <si>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</si>
  <si>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</si>
  <si>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</si>
  <si>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</si>
  <si>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</si>
  <si>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</si>
  <si>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</si>
  <si>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</si>
  <si>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</si>
  <si>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</si>
  <si>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</si>
  <si>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</si>
  <si>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</si>
  <si>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</si>
  <si>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</si>
  <si>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</si>
  <si>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</si>
  <si>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</si>
  <si>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</si>
  <si>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</si>
  <si>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</si>
  <si>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</si>
  <si>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</si>
  <si>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</si>
  <si>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</si>
  <si>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</si>
  <si>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</si>
  <si>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</si>
  <si>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</si>
  <si>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</si>
  <si>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</si>
  <si>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</si>
  <si>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</si>
  <si>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</si>
  <si>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</si>
  <si>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</si>
  <si>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</si>
  <si>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</si>
  <si>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</si>
  <si>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</si>
  <si>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</si>
  <si>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</si>
  <si>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</si>
  <si>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</si>
  <si>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</si>
  <si>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</si>
  <si>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</si>
  <si>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</si>
  <si>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</si>
  <si>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</si>
  <si>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</si>
  <si>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</si>
  <si>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</si>
  <si>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</si>
  <si>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</si>
  <si>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</si>
  <si>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</si>
  <si>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</si>
  <si>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</si>
  <si>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</si>
  <si>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</si>
  <si>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</si>
  <si>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</si>
  <si>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</si>
  <si>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</si>
  <si>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</si>
  <si>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</si>
  <si>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</si>
  <si>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</si>
  <si>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</si>
  <si>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</si>
  <si>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</si>
  <si>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</si>
  <si>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</si>
  <si>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</si>
  <si>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</si>
  <si>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</si>
  <si>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</si>
  <si>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</si>
  <si>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</si>
  <si>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</si>
  <si>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</si>
  <si>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</si>
  <si>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</si>
  <si>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</si>
  <si>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</si>
  <si>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</si>
  <si>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</si>
  <si>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</si>
  <si>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</si>
  <si>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</si>
  <si>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</si>
  <si>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</si>
  <si>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</si>
  <si>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</si>
  <si>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</si>
  <si>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</si>
  <si>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</si>
  <si>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</si>
  <si>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</si>
  <si>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</si>
  <si>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</si>
  <si>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</si>
  <si>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</si>
  <si>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</si>
  <si>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</si>
  <si>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</si>
  <si>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</si>
  <si>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</si>
  <si>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</si>
  <si>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</si>
  <si>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</si>
  <si>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</si>
  <si>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</si>
  <si>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</si>
  <si>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</si>
  <si>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</si>
  <si>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</si>
  <si>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</si>
  <si>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</si>
  <si>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</si>
  <si>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</si>
  <si>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</si>
  <si>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</si>
  <si>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</si>
  <si>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</si>
  <si>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</si>
  <si>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</si>
  <si>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</si>
  <si>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</si>
  <si>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</si>
  <si>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</si>
  <si>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</si>
  <si>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</si>
  <si>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</si>
  <si>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</si>
  <si>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</si>
  <si>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</si>
  <si>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</si>
  <si>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</si>
  <si>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</si>
  <si>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</si>
  <si>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</si>
  <si>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</si>
  <si>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</si>
  <si>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</si>
  <si>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</si>
  <si>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</si>
  <si>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</si>
  <si>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</si>
  <si>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</si>
  <si>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</si>
  <si>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</si>
  <si>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</si>
  <si>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</si>
  <si>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</si>
  <si>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</si>
  <si>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</si>
  <si>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</si>
  <si>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</si>
  <si>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</si>
  <si>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</si>
  <si>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</si>
  <si>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</si>
  <si>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</si>
  <si>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</si>
  <si>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</si>
  <si>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</si>
  <si>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</si>
  <si>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</si>
  <si>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</si>
  <si>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</si>
  <si>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</si>
  <si>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</si>
  <si>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</si>
  <si>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</si>
  <si>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</si>
  <si>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</si>
  <si>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</si>
  <si>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</si>
  <si>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</si>
  <si>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</si>
  <si>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</si>
  <si>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</si>
  <si>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</si>
  <si>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</si>
  <si>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</si>
  <si>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</si>
  <si>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</si>
  <si>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</si>
  <si>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</si>
  <si>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</si>
  <si>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</si>
  <si>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</si>
  <si>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</si>
  <si>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</si>
  <si>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</si>
  <si>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</si>
  <si>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</si>
  <si>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</si>
  <si>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</si>
  <si>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</si>
  <si>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</si>
  <si>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</si>
  <si>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</si>
  <si>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</si>
  <si>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</si>
  <si>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</si>
  <si>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</si>
  <si>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</si>
  <si>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</si>
  <si>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</si>
  <si>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</si>
  <si>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</si>
  <si>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</si>
  <si>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</si>
  <si>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</si>
  <si>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</si>
  <si>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</si>
  <si>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</si>
  <si>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</si>
  <si>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</si>
  <si>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</si>
  <si>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</si>
  <si>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</si>
  <si>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</si>
  <si>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</si>
  <si>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</si>
  <si>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</si>
  <si>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</si>
  <si>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</si>
  <si>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</si>
  <si>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</si>
  <si>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</si>
  <si>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</si>
  <si>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</si>
  <si>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</si>
  <si>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</si>
  <si>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</si>
  <si>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</si>
  <si>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</si>
  <si>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</si>
  <si>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</si>
  <si>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</si>
  <si>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</si>
  <si>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</si>
  <si>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</si>
  <si>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</si>
  <si>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</si>
  <si>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</si>
  <si>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</si>
  <si>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</si>
  <si>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</si>
  <si>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</si>
  <si>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</si>
  <si>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</si>
  <si>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</si>
  <si>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</si>
  <si>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</si>
  <si>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</si>
  <si>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</si>
  <si>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</si>
  <si>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</si>
  <si>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</si>
  <si>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</si>
  <si>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</si>
  <si>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</si>
  <si>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</si>
  <si>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</si>
  <si>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</si>
  <si>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</si>
  <si>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</si>
  <si>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</si>
  <si>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</si>
  <si>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</si>
  <si>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</si>
  <si>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</si>
  <si>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</si>
  <si>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</si>
  <si>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</si>
  <si>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</si>
  <si>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</si>
  <si>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</si>
  <si>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</si>
  <si>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</si>
  <si>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</si>
  <si>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</si>
  <si>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</si>
  <si>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</si>
  <si>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</si>
  <si>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</si>
  <si>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</si>
  <si>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</si>
  <si>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</si>
  <si>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</si>
  <si>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</si>
  <si>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</si>
  <si>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</si>
  <si>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</si>
  <si>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</si>
  <si>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</si>
  <si>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</si>
  <si>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</si>
  <si>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</si>
  <si>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</si>
  <si>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</si>
  <si>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</si>
  <si>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</si>
  <si>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</si>
  <si>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</si>
  <si>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</si>
  <si>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</si>
  <si>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</si>
  <si>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</si>
  <si>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</si>
  <si>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</si>
  <si>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</si>
  <si>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</si>
  <si>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</si>
  <si>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</si>
  <si>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</si>
  <si>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</si>
  <si>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</si>
  <si>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</si>
  <si>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</si>
  <si>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</si>
  <si>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</si>
  <si>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</si>
  <si>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</si>
  <si>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</si>
  <si>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</si>
  <si>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</si>
  <si>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</si>
  <si>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</si>
  <si>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</si>
  <si>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</si>
  <si>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</si>
  <si>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</si>
  <si>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</si>
  <si>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</si>
  <si>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</si>
  <si>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</si>
  <si>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</si>
  <si>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</si>
  <si>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</si>
  <si>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</si>
  <si>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</si>
  <si>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</si>
  <si>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</si>
  <si>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</si>
  <si>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</si>
  <si>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</si>
  <si>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</si>
  <si>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</si>
  <si>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</si>
  <si>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</si>
  <si>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</si>
  <si>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</si>
  <si>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</si>
  <si>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</si>
  <si>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</si>
  <si>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</si>
  <si>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</si>
  <si>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</si>
  <si>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</si>
  <si>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</si>
  <si>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</si>
  <si>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</si>
  <si>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</si>
  <si>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</si>
  <si>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</si>
  <si>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</si>
  <si>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</si>
  <si>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</si>
  <si>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</si>
  <si>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</si>
  <si>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</si>
  <si>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</si>
  <si>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</si>
  <si>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</si>
  <si>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</si>
  <si>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</si>
  <si>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</si>
  <si>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</si>
  <si>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</si>
  <si>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</si>
  <si>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</si>
  <si>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</si>
  <si>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</si>
  <si>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</si>
  <si>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</si>
  <si>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</si>
  <si>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</si>
  <si>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</si>
  <si>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</si>
  <si>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</si>
  <si>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</si>
  <si>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</si>
  <si>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</si>
  <si>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</si>
  <si>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</si>
  <si>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</si>
  <si>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</si>
  <si>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</si>
  <si>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</si>
  <si>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</si>
  <si>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</si>
  <si>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</si>
  <si>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</si>
  <si>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</si>
  <si>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</si>
  <si>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</si>
  <si>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</si>
  <si>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</si>
  <si>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</si>
  <si>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</si>
  <si>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</si>
  <si>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</si>
  <si>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</si>
  <si>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</si>
  <si>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</si>
  <si>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</si>
  <si>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</si>
  <si>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</si>
  <si>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</si>
  <si>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</si>
  <si>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</si>
  <si>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</si>
  <si>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</si>
  <si>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</si>
  <si>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</si>
  <si>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</si>
  <si>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</si>
  <si>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</si>
  <si>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</si>
  <si>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</si>
  <si>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</si>
  <si>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</si>
  <si>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</si>
  <si>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</si>
  <si>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</si>
  <si>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</si>
  <si>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</si>
  <si>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</si>
  <si>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</si>
  <si>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</si>
  <si>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</si>
  <si>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</si>
  <si>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</si>
  <si>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</si>
  <si>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</si>
  <si>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</si>
  <si>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</si>
  <si>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</si>
  <si>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</si>
  <si>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</si>
  <si>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</si>
  <si>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</si>
  <si>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</si>
  <si>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</si>
  <si>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</si>
  <si>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</si>
  <si>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</si>
  <si>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</si>
  <si>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</si>
  <si>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</si>
  <si>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</si>
  <si>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</si>
  <si>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</si>
  <si>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</si>
  <si>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</si>
  <si>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</si>
  <si>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</si>
  <si>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</si>
  <si>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</si>
  <si>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</si>
  <si>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</si>
  <si>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</si>
  <si>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</si>
  <si>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</si>
  <si>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</si>
  <si>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</si>
  <si>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</si>
  <si>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</si>
  <si>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</si>
  <si>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</si>
  <si>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</si>
  <si>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</si>
  <si>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</si>
  <si>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</si>
  <si>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</si>
  <si>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</si>
  <si>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</si>
  <si>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</si>
  <si>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</si>
  <si>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</si>
  <si>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</si>
  <si>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</si>
  <si>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</si>
  <si>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</si>
  <si>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</si>
  <si>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</si>
  <si>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</si>
  <si>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</si>
  <si>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</si>
  <si>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</si>
  <si>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</si>
  <si>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</si>
  <si>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</si>
  <si>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</si>
  <si>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</si>
  <si>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</si>
  <si>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</si>
  <si>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</si>
  <si>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</si>
  <si>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</si>
  <si>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</si>
  <si>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</si>
  <si>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</si>
  <si>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</si>
  <si>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</si>
  <si>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</si>
  <si>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</si>
  <si>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</si>
  <si>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</si>
  <si>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</si>
  <si>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</si>
  <si>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</si>
  <si>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</si>
  <si>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</si>
  <si>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</si>
  <si>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</si>
  <si>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</si>
  <si>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</si>
  <si>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</si>
  <si>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</si>
  <si>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</si>
  <si>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</si>
  <si>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</si>
  <si>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</si>
  <si>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</si>
  <si>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</si>
  <si>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</si>
  <si>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</si>
  <si>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</si>
  <si>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</si>
  <si>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</si>
  <si>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</si>
  <si>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</si>
  <si>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</si>
  <si>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</si>
  <si>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</si>
  <si>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</si>
  <si>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</si>
  <si>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</si>
  <si>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</si>
  <si>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</si>
  <si>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</si>
  <si>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</si>
  <si>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</si>
  <si>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</si>
  <si>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</si>
  <si>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</si>
  <si>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</si>
  <si>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</si>
  <si>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</si>
  <si>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</si>
  <si>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</si>
  <si>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</si>
  <si>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</si>
  <si>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</si>
  <si>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</si>
  <si>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</si>
  <si>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</si>
  <si>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</si>
  <si>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</si>
  <si>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</si>
  <si>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</si>
  <si>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</si>
  <si>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</si>
  <si>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</si>
  <si>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</si>
  <si>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</si>
  <si>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</si>
  <si>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</si>
  <si>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</si>
  <si>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</si>
  <si>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</si>
  <si>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</si>
  <si>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</si>
  <si>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</si>
  <si>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</si>
  <si>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</si>
  <si>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</si>
  <si>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</si>
  <si>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</si>
  <si>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</si>
  <si>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</si>
  <si>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</si>
  <si>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</si>
  <si>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</si>
  <si>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</si>
  <si>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</si>
  <si>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</si>
  <si>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</si>
  <si>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</si>
  <si>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</si>
  <si>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</si>
  <si>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</si>
  <si>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</si>
  <si>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</si>
  <si>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</si>
  <si>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</si>
  <si>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</si>
  <si>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</si>
  <si>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</si>
  <si>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</si>
  <si>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</si>
  <si>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</si>
  <si>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</si>
  <si>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</si>
  <si>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</si>
  <si>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</si>
  <si>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</si>
  <si>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</si>
  <si>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</si>
  <si>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</si>
  <si>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</si>
  <si>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</si>
  <si>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</si>
  <si>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</si>
  <si>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</si>
  <si>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</si>
  <si>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</si>
  <si>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</si>
  <si>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</si>
  <si>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</si>
  <si>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</si>
  <si>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</si>
  <si>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</si>
  <si>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</si>
  <si>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</si>
  <si>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</si>
  <si>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</si>
  <si>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</si>
  <si>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</si>
  <si>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</si>
  <si>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</si>
  <si>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</si>
  <si>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</si>
  <si>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</si>
  <si>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</si>
  <si>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</si>
  <si>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</si>
  <si>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</si>
  <si>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</si>
  <si>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</si>
  <si>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</si>
  <si>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</si>
  <si>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</si>
  <si>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</si>
  <si>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</si>
  <si>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</si>
  <si>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</si>
  <si>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</si>
  <si>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</si>
  <si>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</si>
  <si>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</si>
  <si>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</si>
  <si>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</si>
  <si>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</si>
  <si>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</si>
  <si>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</si>
  <si>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</si>
  <si>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</si>
  <si>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</si>
  <si>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</si>
  <si>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</si>
  <si>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</si>
  <si>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</si>
  <si>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</si>
  <si>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</si>
  <si>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</si>
  <si>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</si>
  <si>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</si>
  <si>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</si>
  <si>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</si>
  <si>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</si>
  <si>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</si>
  <si>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</si>
  <si>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</si>
  <si>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</si>
  <si>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</si>
  <si>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</si>
  <si>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</si>
  <si>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</si>
  <si>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</si>
  <si>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</si>
  <si>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</si>
  <si>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</si>
  <si>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</si>
  <si>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</si>
  <si>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</si>
  <si>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</si>
  <si>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</si>
  <si>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</si>
  <si>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</si>
  <si>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</si>
  <si>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</si>
  <si>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</si>
  <si>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</si>
  <si>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</si>
  <si>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</si>
  <si>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</si>
  <si>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</si>
  <si>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</si>
  <si>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</si>
  <si>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</si>
  <si>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</si>
  <si>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</si>
  <si>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</si>
  <si>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</si>
  <si>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</si>
  <si>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</si>
  <si>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</si>
  <si>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</si>
  <si>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</si>
  <si>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</si>
  <si>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</si>
  <si>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</si>
  <si>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</si>
  <si>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</si>
  <si>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</si>
  <si>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</si>
  <si>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</si>
  <si>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</si>
  <si>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</si>
  <si>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</si>
  <si>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</si>
  <si>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</si>
  <si>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</si>
  <si>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</si>
  <si>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</si>
  <si>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</si>
  <si>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</si>
  <si>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</si>
  <si>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</si>
  <si>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</si>
  <si>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</si>
  <si>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</si>
  <si>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</si>
  <si>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</si>
  <si>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</si>
  <si>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</si>
  <si>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</si>
  <si>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</si>
  <si>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</si>
  <si>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</si>
  <si>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</si>
  <si>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</si>
  <si>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</si>
  <si>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</si>
  <si>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</si>
  <si>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</si>
  <si>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</si>
  <si>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</si>
  <si>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</si>
  <si>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</si>
  <si>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</si>
  <si>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</si>
  <si>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</si>
  <si>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</si>
  <si>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</si>
  <si>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</si>
  <si>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</si>
  <si>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</si>
  <si>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</si>
  <si>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</si>
  <si>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</si>
  <si>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</si>
  <si>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</si>
  <si>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</si>
  <si>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</si>
  <si>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</si>
  <si>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</si>
  <si>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</si>
  <si>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</si>
  <si>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</si>
  <si>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</si>
  <si>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</si>
  <si>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</si>
  <si>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</si>
  <si>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</si>
  <si>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</si>
  <si>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</si>
  <si>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</si>
  <si>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</si>
  <si>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</si>
  <si>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</si>
  <si>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</si>
  <si>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</si>
  <si>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</si>
  <si>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</si>
  <si>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</si>
  <si>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</si>
  <si>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</si>
  <si>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</si>
  <si>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</si>
  <si>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</si>
  <si>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</si>
  <si>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</si>
  <si>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</si>
  <si>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</si>
  <si>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</si>
  <si>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</si>
  <si>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</si>
  <si>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</si>
  <si>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</si>
  <si>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</si>
  <si>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</si>
  <si>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</si>
  <si>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</si>
  <si>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</si>
  <si>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</si>
  <si>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</si>
  <si>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</si>
  <si>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</si>
  <si>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</si>
  <si>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</si>
  <si>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</si>
  <si>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</si>
  <si>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</si>
  <si>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</si>
  <si>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</si>
  <si>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</si>
  <si>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</si>
  <si>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</si>
  <si>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</si>
  <si>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</si>
  <si>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</si>
  <si>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</si>
  <si>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</si>
  <si>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</si>
  <si>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</si>
  <si>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</si>
  <si>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</si>
  <si>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</si>
  <si>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</si>
  <si>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</si>
  <si>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</si>
  <si>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</si>
  <si>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</si>
  <si>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</si>
  <si>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</si>
  <si>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</si>
  <si>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</si>
  <si>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</si>
  <si>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</si>
  <si>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</si>
  <si>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</si>
  <si>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</si>
  <si>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</si>
  <si>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</si>
  <si>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</si>
  <si>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</si>
  <si>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</si>
  <si>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</si>
  <si>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</si>
  <si>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</si>
  <si>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</si>
  <si>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</si>
  <si>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</si>
  <si>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</si>
  <si>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</si>
  <si>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</si>
  <si>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</si>
  <si>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</si>
  <si>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</si>
  <si>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</si>
  <si>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</si>
  <si>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</si>
  <si>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</si>
  <si>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</si>
  <si>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</si>
  <si>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</si>
  <si>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</si>
  <si>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</si>
  <si>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</si>
  <si>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</si>
  <si>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</si>
  <si>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</si>
  <si>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</si>
  <si>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</si>
  <si>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</si>
  <si>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</si>
  <si>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</si>
  <si>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</si>
  <si>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</si>
  <si>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</si>
  <si>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</si>
  <si>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</si>
  <si>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</si>
  <si>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</si>
  <si>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</si>
  <si>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</si>
  <si>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</si>
  <si>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</si>
  <si>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</si>
  <si>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</si>
  <si>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</si>
  <si>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</si>
  <si>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</si>
  <si>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</si>
  <si>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</si>
  <si>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</si>
  <si>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</si>
  <si>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</si>
  <si>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</si>
  <si>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</si>
  <si>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</si>
  <si>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</si>
  <si>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</si>
  <si>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</si>
  <si>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</si>
  <si>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</si>
  <si>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</si>
  <si>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</si>
  <si>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</si>
  <si>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</si>
  <si>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</si>
  <si>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</si>
  <si>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</si>
  <si>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</si>
  <si>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</si>
  <si>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</si>
  <si>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</si>
  <si>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</si>
  <si>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</si>
  <si>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</si>
  <si>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</si>
  <si>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</si>
  <si>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</si>
  <si>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</si>
  <si>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</si>
  <si>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</si>
  <si>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</si>
  <si>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</si>
  <si>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</si>
  <si>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</si>
  <si>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</si>
  <si>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</si>
  <si>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</si>
  <si>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</si>
  <si>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</si>
  <si>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</si>
  <si>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</si>
  <si>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</si>
  <si>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</si>
  <si>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</si>
  <si>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</si>
  <si>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</si>
  <si>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</si>
  <si>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</si>
  <si>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</si>
  <si>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</si>
  <si>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</si>
  <si>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</si>
  <si>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</si>
  <si>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</si>
  <si>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</si>
  <si>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</si>
  <si>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</si>
  <si>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</si>
  <si>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</si>
  <si>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</si>
  <si>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</si>
  <si>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</si>
  <si>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</si>
  <si>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</si>
  <si>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</si>
  <si>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</si>
  <si>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</si>
  <si>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</si>
  <si>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</si>
  <si>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</si>
  <si>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</si>
  <si>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</si>
  <si>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</si>
  <si>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</si>
  <si>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</si>
  <si>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</si>
  <si>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</si>
  <si>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</si>
  <si>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</si>
  <si>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</si>
  <si>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</si>
  <si>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</si>
  <si>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</si>
  <si>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</si>
  <si>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</si>
  <si>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</si>
  <si>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</si>
  <si>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</si>
  <si>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</si>
  <si>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</si>
  <si>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</si>
  <si>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</si>
  <si>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</si>
  <si>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</si>
  <si>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</si>
  <si>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</si>
  <si>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</si>
  <si>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</si>
  <si>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</si>
  <si>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</si>
  <si>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</si>
  <si>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</si>
  <si>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</si>
  <si>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</si>
  <si>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</si>
  <si>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</si>
  <si>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</si>
  <si>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</si>
  <si>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</si>
  <si>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</si>
  <si>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</si>
  <si>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</si>
  <si>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</si>
  <si>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</si>
  <si>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</si>
  <si>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</si>
  <si>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</si>
  <si>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</si>
  <si>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</si>
  <si>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</si>
  <si>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</si>
  <si>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</si>
  <si>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</si>
  <si>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</si>
  <si>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</si>
  <si>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</si>
  <si>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</si>
  <si>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</si>
  <si>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</si>
  <si>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</si>
  <si>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</si>
  <si>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</si>
  <si>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</si>
  <si>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</si>
  <si>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</si>
  <si>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</si>
  <si>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</si>
  <si>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</si>
  <si>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</si>
  <si>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</si>
  <si>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</si>
  <si>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</si>
  <si>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</si>
  <si>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</si>
  <si>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</si>
  <si>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</si>
  <si>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</si>
  <si>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</si>
  <si>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</si>
  <si>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</si>
  <si>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</si>
  <si>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</si>
  <si>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</si>
  <si>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</si>
  <si>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</si>
  <si>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</si>
  <si>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</si>
  <si>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</si>
  <si>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</si>
  <si>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</si>
  <si>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</si>
  <si>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</si>
  <si>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</si>
  <si>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</si>
  <si>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</si>
  <si>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</si>
  <si>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</si>
  <si>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</si>
  <si>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</si>
  <si>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</si>
  <si>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</si>
  <si>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</si>
  <si>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</si>
  <si>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</si>
  <si>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</si>
  <si>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</si>
  <si>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</si>
  <si>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</si>
  <si>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</si>
  <si>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</si>
  <si>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</si>
  <si>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</si>
  <si>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</si>
  <si>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</si>
  <si>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</si>
  <si>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</si>
  <si>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</si>
  <si>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</si>
  <si>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</si>
  <si>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</si>
  <si>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</si>
  <si>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</si>
  <si>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</si>
  <si>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</si>
  <si>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</si>
  <si>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</si>
  <si>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</si>
  <si>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</si>
  <si>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</si>
  <si>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</si>
  <si>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</si>
  <si>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</si>
  <si>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</si>
  <si>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</si>
  <si>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</si>
  <si>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</si>
  <si>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</si>
  <si>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</si>
  <si>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</si>
  <si>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</si>
  <si>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</si>
  <si>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</si>
  <si>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</si>
  <si>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</si>
  <si>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</si>
  <si>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</si>
  <si>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</si>
  <si>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</si>
  <si>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</si>
  <si>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</si>
  <si>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</si>
  <si>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</si>
  <si>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</si>
  <si>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</si>
  <si>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</si>
  <si>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</si>
  <si>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</si>
  <si>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</si>
  <si>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</si>
  <si>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</si>
  <si>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</si>
  <si>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</si>
  <si>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</si>
  <si>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</si>
  <si>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</si>
  <si>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</si>
  <si>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</si>
  <si>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</si>
  <si>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</si>
  <si>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</si>
  <si>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</si>
  <si>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</si>
  <si>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</si>
  <si>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</si>
  <si>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</si>
  <si>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</si>
  <si>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</si>
  <si>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</si>
  <si>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</si>
  <si>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</si>
  <si>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</si>
  <si>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</si>
  <si>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</si>
  <si>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</si>
  <si>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</si>
  <si>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</si>
  <si>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</si>
  <si>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</si>
  <si>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</si>
  <si>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</si>
  <si>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</si>
  <si>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</si>
  <si>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</si>
  <si>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</si>
  <si>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</si>
  <si>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</si>
  <si>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</si>
  <si>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</si>
  <si>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</si>
  <si>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</si>
  <si>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</si>
  <si>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</si>
  <si>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</si>
  <si>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</si>
  <si>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</si>
  <si>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</si>
  <si>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</si>
  <si>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</si>
  <si>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</si>
  <si>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</si>
  <si>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</si>
  <si>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</si>
  <si>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</si>
  <si>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</si>
  <si>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</si>
  <si>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</si>
  <si>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</si>
  <si>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</si>
  <si>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</si>
  <si>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</si>
  <si>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</si>
  <si>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</si>
  <si>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</si>
  <si>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</si>
  <si>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</si>
  <si>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</si>
  <si>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</si>
  <si>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</si>
  <si>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</si>
  <si>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</si>
  <si>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</si>
  <si>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</si>
  <si>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</si>
  <si>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</si>
  <si>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</si>
  <si>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</si>
  <si>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</si>
  <si>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</si>
  <si>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</si>
  <si>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</si>
  <si>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</si>
  <si>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</si>
  <si>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</si>
  <si>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</si>
  <si>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</si>
  <si>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</si>
  <si>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</si>
  <si>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</si>
  <si>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</si>
  <si>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</si>
  <si>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</si>
  <si>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</si>
  <si>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</si>
  <si>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</si>
  <si>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</si>
  <si>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</si>
  <si>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</si>
  <si>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</si>
  <si>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</si>
  <si>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</si>
  <si>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</si>
  <si>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</si>
  <si>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</si>
  <si>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</si>
  <si>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</si>
  <si>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</si>
  <si>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</si>
  <si>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</si>
  <si>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</si>
  <si>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</si>
  <si>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</si>
  <si>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</si>
  <si>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</si>
  <si>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</si>
  <si>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</si>
  <si>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</si>
  <si>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</si>
  <si>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</si>
  <si>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</si>
  <si>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</si>
  <si>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</si>
  <si>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</si>
  <si>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</si>
  <si>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</si>
  <si>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</si>
  <si>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</si>
  <si>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</si>
  <si>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</si>
  <si>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</si>
  <si>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</si>
  <si>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</si>
  <si>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</si>
  <si>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</si>
  <si>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</si>
  <si>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</si>
  <si>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</si>
  <si>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</si>
  <si>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</si>
  <si>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</si>
  <si>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</si>
  <si>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</si>
  <si>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</si>
  <si>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</si>
  <si>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</si>
  <si>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</si>
  <si>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</si>
  <si>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</si>
  <si>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</si>
  <si>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</si>
  <si>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</si>
  <si>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</si>
  <si>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</si>
  <si>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</si>
  <si>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</si>
  <si>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</si>
  <si>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</si>
  <si>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</si>
  <si>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</si>
  <si>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</si>
  <si>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</si>
  <si>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</si>
  <si>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</si>
  <si>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</si>
  <si>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</si>
  <si>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</si>
  <si>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</si>
  <si>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</si>
  <si>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</si>
  <si>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</si>
  <si>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</si>
  <si>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</si>
  <si>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</si>
  <si>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</si>
  <si>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</si>
  <si>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</si>
  <si>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</si>
  <si>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</si>
  <si>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</si>
  <si>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</si>
  <si>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</si>
  <si>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</si>
  <si>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</si>
  <si>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</si>
  <si>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</si>
  <si>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</si>
  <si>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</si>
  <si>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</si>
  <si>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</si>
  <si>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</si>
  <si>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</si>
  <si>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</si>
  <si>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</si>
  <si>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</si>
  <si>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</si>
  <si>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</si>
  <si>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</si>
  <si>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</si>
  <si>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</si>
  <si>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</si>
  <si>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</si>
  <si>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</si>
  <si>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</si>
  <si>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</si>
  <si>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</si>
  <si>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</si>
  <si>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</si>
  <si>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</si>
  <si>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</si>
  <si>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</si>
  <si>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</si>
  <si>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</si>
  <si>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</si>
  <si>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</si>
  <si>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</si>
  <si>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</si>
  <si>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</si>
  <si>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</si>
  <si>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</si>
  <si>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</si>
  <si>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</si>
  <si>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</si>
  <si>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</si>
  <si>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</si>
  <si>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</si>
  <si>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</si>
  <si>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</si>
  <si>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</si>
  <si>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</si>
  <si>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</si>
  <si>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</si>
  <si>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</si>
  <si>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</si>
  <si>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</si>
  <si>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</si>
  <si>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</si>
  <si>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</si>
  <si>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</si>
  <si>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</si>
  <si>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</si>
  <si>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</si>
  <si>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</si>
  <si>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</si>
  <si>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</si>
  <si>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Roast Type Name</t>
  </si>
  <si>
    <t>Coffe Type Name</t>
  </si>
  <si>
    <t xml:space="preserve"> </t>
  </si>
  <si>
    <t>Somme de Sales</t>
  </si>
  <si>
    <t>Total général</t>
  </si>
  <si>
    <t>2019</t>
  </si>
  <si>
    <t>2020</t>
  </si>
  <si>
    <t>2021</t>
  </si>
  <si>
    <t>2022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</si>
  <si>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</si>
  <si>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</si>
  <si>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</si>
  <si>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</si>
  <si>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</si>
  <si>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</si>
  <si>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</si>
  <si>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</si>
  <si>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</si>
  <si>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</si>
  <si>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</si>
  <si>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</si>
  <si>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Arabica</t>
  </si>
  <si>
    <t>Excelsa</t>
  </si>
  <si>
    <t>Liberica</t>
  </si>
  <si>
    <t>Robusta</t>
  </si>
  <si>
    <t>Années (Order Date)</t>
  </si>
  <si>
    <t>Mois (Order Date)</t>
  </si>
  <si>
    <t>Total 2019</t>
  </si>
  <si>
    <t>Total 2020</t>
  </si>
  <si>
    <t>Total 2021</t>
  </si>
  <si>
    <t>Total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</si>
</sst>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 * #,##0_)\ &quot;€&quot;_ ;_ * \(#,##0\)\ &quot;€&quot;_ ;_ * &quot;-&quot;_)\ &quot;€&quot;_ ;_ @_ "/>
    <numFmt numFmtId="164" formatCode="0.0"/>
    <numFmt numFmtId="168" formatCode="dd\-mmm\-yyyy"/>
    <numFmt numFmtId="170" formatCode="0.0&quot; kg&quot;"/>
    <numFmt numFmtId="171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8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pivotButton="1"/>
    <xf numFmtId="37" fontId="0" fillId="0" borderId="0" xfId="0" applyNumberFormat="1"/>
    <xf numFmtId="42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vertical="center"/>
    </xf>
    <xf numFmtId="0" fontId="0" fillId="3" borderId="0" xfId="0" applyFill="1"/>
    <xf numFmtId="170" fontId="0" fillId="3" borderId="0" xfId="0" applyNumberFormat="1" applyFill="1"/>
    <xf numFmtId="171" fontId="0" fillId="3" borderId="0" xfId="0" applyNumberFormat="1" applyFill="1"/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numFmt numFmtId="171" formatCode="#,##0.00\ &quot;€&quot;"/>
      <fill>
        <patternFill patternType="solid">
          <fgColor indexed="64"/>
          <bgColor theme="3" tint="0.79998168889431442"/>
        </patternFill>
      </fill>
    </dxf>
    <dxf>
      <numFmt numFmtId="171" formatCode="#,##0.00\ &quot;€&quot;"/>
      <fill>
        <patternFill patternType="solid">
          <fgColor indexed="64"/>
          <bgColor theme="3" tint="0.79998168889431442"/>
        </patternFill>
      </fill>
    </dxf>
    <dxf>
      <numFmt numFmtId="170" formatCode="0.0&quot; kg&quot;"/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8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SlicerStyleLight4 2" pivot="0" table="0" count="10" xr9:uid="{E7FDD4F3-65F6-7E49-8B23-35A83DBE55E8}">
      <tableStyleElement type="wholeTable" dxfId="13"/>
      <tableStyleElement type="headerRow" dxfId="12"/>
    </tableStyle>
    <tableStyle name="TimeSlicerStyleLight4 2" pivot="0" table="0" count="9" xr9:uid="{FC542FC5-9DF1-DF49-9D80-0A7C94497883}">
      <tableStyleElement type="wholeTable" dxfId="15"/>
      <tableStyleElement type="headerRow" dxfId="14"/>
    </tableStyle>
  </tableStyles>
  <colors>
    <mruColors>
      <color rgb="FFA379C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4 2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 tint="0.59999389629810485"/>
              </stop>
              <stop position="1">
                <color theme="7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4 2">
        <x15:timelineStyle name="TimeSlicerStyleLight4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Sales.xlsx]TotalSales!Tableau croisé dynamique1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Total</a:t>
            </a:r>
            <a:r>
              <a:rPr lang="fr-FR" sz="2400" baseline="0"/>
              <a:t> Sales Over Time</a:t>
            </a:r>
            <a:endParaRPr lang="fr-F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A379C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A379C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A379C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A379C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TotalSales!$C$5:$C$53</c:f>
              <c:numCache>
                <c:formatCode>#,##0_);\(#,##0\)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9-FA49-91D1-E9C3A3C2D95A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TotalSales!$D$5:$D$53</c:f>
              <c:numCache>
                <c:formatCode>#,##0_);\(#,##0\)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9-FA49-91D1-E9C3A3C2D95A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TotalSales!$E$5:$E$53</c:f>
              <c:numCache>
                <c:formatCode>#,##0_);\(#,##0\)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9-FA49-91D1-E9C3A3C2D95A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TotalSales!$F$5:$F$53</c:f>
              <c:numCache>
                <c:formatCode>#,##0_);\(#,##0\)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9-FA49-91D1-E9C3A3C2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80527"/>
        <c:axId val="1072454255"/>
      </c:lineChart>
      <c:catAx>
        <c:axId val="1072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2454255"/>
        <c:crosses val="autoZero"/>
        <c:auto val="1"/>
        <c:lblAlgn val="ctr"/>
        <c:lblOffset val="100"/>
        <c:noMultiLvlLbl val="0"/>
      </c:catAx>
      <c:valAx>
        <c:axId val="1072454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2">
                        <a:lumMod val="75000"/>
                      </a:schemeClr>
                    </a:solidFill>
                  </a:rPr>
                  <a:t>Euros</a:t>
                </a:r>
                <a:endParaRPr lang="fr-FR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8.0184259640420953E-3"/>
              <c:y val="0.41290989753970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2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7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Sales.xlsx]Country!Tableau croisé dynamique1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Sales</a:t>
            </a:r>
            <a:r>
              <a:rPr lang="en-US" sz="2000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50000"/>
            </a:schemeClr>
          </a:solidFill>
          <a:ln w="38100"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CF-1549-85E8-79D7FD0AA4A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CF-1549-85E8-79D7FD0AA4A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CF-1549-85E8-79D7FD0AA4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Country!$B$4:$B$7</c:f>
              <c:numCache>
                <c:formatCode>_("€"* #,##0_);_("€"* \(#,##0\);_("€"* "-"_);_(@_)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CF-1549-85E8-79D7FD0AA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71192175"/>
        <c:axId val="780565087"/>
      </c:barChart>
      <c:catAx>
        <c:axId val="87119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565087"/>
        <c:crosses val="autoZero"/>
        <c:auto val="1"/>
        <c:lblAlgn val="ctr"/>
        <c:lblOffset val="100"/>
        <c:noMultiLvlLbl val="0"/>
      </c:catAx>
      <c:valAx>
        <c:axId val="780565087"/>
        <c:scaling>
          <c:orientation val="minMax"/>
        </c:scaling>
        <c:delete val="0"/>
        <c:axPos val="b"/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7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Sales.xlsx]Top 5 Customers!Tableau croisé dynamique1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Top 5 Customers</a:t>
            </a:r>
            <a:endParaRPr lang="en-US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8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1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Customers'!$B$4:$B$9</c:f>
              <c:numCache>
                <c:formatCode>_("€"* #,##0_);_("€"* \(#,##0\);_("€"* "-"_);_(@_)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C-CF42-A6E4-A0B476527C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71192175"/>
        <c:axId val="780565087"/>
      </c:barChart>
      <c:catAx>
        <c:axId val="87119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565087"/>
        <c:crosses val="autoZero"/>
        <c:auto val="1"/>
        <c:lblAlgn val="ctr"/>
        <c:lblOffset val="100"/>
        <c:noMultiLvlLbl val="0"/>
      </c:catAx>
      <c:valAx>
        <c:axId val="780565087"/>
        <c:scaling>
          <c:orientation val="minMax"/>
        </c:scaling>
        <c:delete val="0"/>
        <c:axPos val="b"/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7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8C99D7-2165-8759-E4B3-1FDBB5B2A90F}"/>
            </a:ext>
          </a:extLst>
        </xdr:cNvPr>
        <xdr:cNvSpPr/>
      </xdr:nvSpPr>
      <xdr:spPr>
        <a:xfrm>
          <a:off x="165100" y="0"/>
          <a:ext cx="20612100" cy="11811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6000">
              <a:solidFill>
                <a:schemeClr val="bg1"/>
              </a:solidFill>
            </a:rPr>
            <a:t>Coffee</a:t>
          </a:r>
          <a:r>
            <a:rPr lang="fr-FR" sz="6000" baseline="0">
              <a:solidFill>
                <a:schemeClr val="bg1"/>
              </a:solidFill>
            </a:rPr>
            <a:t> Sales Dashboard</a:t>
          </a:r>
          <a:endParaRPr lang="fr-FR" sz="60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33866</xdr:colOff>
      <xdr:row>20</xdr:row>
      <xdr:rowOff>27534</xdr:rowOff>
    </xdr:from>
    <xdr:to>
      <xdr:col>15</xdr:col>
      <xdr:colOff>101600</xdr:colOff>
      <xdr:row>52</xdr:row>
      <xdr:rowOff>114223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17D156D-F338-8B4E-A601-C2CD9449D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8</xdr:row>
      <xdr:rowOff>0</xdr:rowOff>
    </xdr:from>
    <xdr:to>
      <xdr:col>16</xdr:col>
      <xdr:colOff>407654</xdr:colOff>
      <xdr:row>19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Order Date">
              <a:extLst>
                <a:ext uri="{FF2B5EF4-FFF2-40B4-BE49-F238E27FC236}">
                  <a16:creationId xmlns:a16="http://schemas.microsoft.com/office/drawing/2014/main" id="{5CAB96CA-E037-1247-BA8A-E23C22290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112" y="1425222"/>
              <a:ext cx="12895986" cy="21731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4064</xdr:colOff>
      <xdr:row>13</xdr:row>
      <xdr:rowOff>184782</xdr:rowOff>
    </xdr:from>
    <xdr:to>
      <xdr:col>21</xdr:col>
      <xdr:colOff>396240</xdr:colOff>
      <xdr:row>19</xdr:row>
      <xdr:rowOff>41526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ize">
              <a:extLst>
                <a:ext uri="{FF2B5EF4-FFF2-40B4-BE49-F238E27FC236}">
                  <a16:creationId xmlns:a16="http://schemas.microsoft.com/office/drawing/2014/main" id="{F6596B52-4BB6-3346-BA62-0CAEB939C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6064" y="2597782"/>
              <a:ext cx="3722398" cy="10420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568960</xdr:colOff>
      <xdr:row>13</xdr:row>
      <xdr:rowOff>184912</xdr:rowOff>
    </xdr:from>
    <xdr:to>
      <xdr:col>25</xdr:col>
      <xdr:colOff>806656</xdr:colOff>
      <xdr:row>19</xdr:row>
      <xdr:rowOff>38892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Loyalty Card">
              <a:extLst>
                <a:ext uri="{FF2B5EF4-FFF2-40B4-BE49-F238E27FC236}">
                  <a16:creationId xmlns:a16="http://schemas.microsoft.com/office/drawing/2014/main" id="{6F1AEFBC-0672-5D4D-97BF-A14ED94E4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61182" y="2597912"/>
              <a:ext cx="3567918" cy="1039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15</xdr:col>
      <xdr:colOff>372534</xdr:colOff>
      <xdr:row>20</xdr:row>
      <xdr:rowOff>26163</xdr:rowOff>
    </xdr:from>
    <xdr:to>
      <xdr:col>26</xdr:col>
      <xdr:colOff>0</xdr:colOff>
      <xdr:row>32</xdr:row>
      <xdr:rowOff>118534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43A2268-A7E0-8E43-80AA-9D19F3BC7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355601</xdr:colOff>
      <xdr:row>33</xdr:row>
      <xdr:rowOff>67734</xdr:rowOff>
    </xdr:from>
    <xdr:to>
      <xdr:col>26</xdr:col>
      <xdr:colOff>0</xdr:colOff>
      <xdr:row>52</xdr:row>
      <xdr:rowOff>135467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F945236-8F22-F347-A5E2-A34AAE6FD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</xdr:colOff>
      <xdr:row>7</xdr:row>
      <xdr:rowOff>172720</xdr:rowOff>
    </xdr:from>
    <xdr:to>
      <xdr:col>26</xdr:col>
      <xdr:colOff>1</xdr:colOff>
      <xdr:row>12</xdr:row>
      <xdr:rowOff>153607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Roast Type Name 2">
              <a:extLst>
                <a:ext uri="{FF2B5EF4-FFF2-40B4-BE49-F238E27FC236}">
                  <a16:creationId xmlns:a16="http://schemas.microsoft.com/office/drawing/2014/main" id="{7A4ADCC4-54C6-40F4-D189-668B9CF47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2001" y="1400387"/>
              <a:ext cx="7493000" cy="968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" refreshedDate="45736.670778125001" createdVersion="8" refreshedVersion="8" minRefreshableVersion="3" recordCount="1000" xr:uid="{206C1F21-7AD6-9447-B316-4B0D795EA7A6}">
  <cacheSource type="worksheet">
    <worksheetSource name="Tableau1"/>
  </cacheSource>
  <cacheFields count="18">
    <cacheField name="Order ID" numFmtId="0">
      <sharedItems/>
    </cacheField>
    <cacheField name="Order Date" numFmtId="168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7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1">
      <sharedItems containsSemiMixedTypes="0" containsString="0" containsNumber="1" minValue="2.6849999999999996" maxValue="36.454999999999998"/>
    </cacheField>
    <cacheField name="Sales" numFmtId="171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is (Order Date)" numFmtId="0" databaseField="0">
      <fieldGroup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Année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6299338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94B46-895C-E143-A7D3-D5B0FFD7F09E}" name="Tableau croisé dynamique1" cacheId="3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compact="0" compactData="0" multipleFieldFilters="0" chartFormat="20">
  <location ref="A3:G53" firstHeaderRow="1" firstDataRow="2" firstDataCol="2"/>
  <pivotFields count="18">
    <pivotField compact="0" outline="0" showAll="0"/>
    <pivotField compact="0" numFmtId="168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70" outline="0" showAll="0">
      <items count="5">
        <item x="3"/>
        <item x="1"/>
        <item x="0"/>
        <item x="2"/>
        <item t="default"/>
      </items>
    </pivotField>
    <pivotField compact="0" numFmtId="171" outline="0" showAll="0"/>
    <pivotField dataField="1" compact="0" numFmtId="171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7"/>
    <field x="16"/>
  </rowFields>
  <rowItems count="4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omme de Sales" fld="12" baseField="0" baseItem="0" numFmtId="37"/>
  </dataFields>
  <chartFormats count="8"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69812-1C8C-A340-9BF5-F7BC0EBE61B3}" name="Tableau croisé dynamique1" cacheId="3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compact="0" compactData="0" multipleFieldFilters="0" chartFormat="28">
  <location ref="A3:B7" firstHeaderRow="1" firstDataRow="1" firstDataCol="1"/>
  <pivotFields count="18">
    <pivotField compact="0" outline="0" showAll="0"/>
    <pivotField compact="0" numFmtId="168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70" outline="0" showAll="0">
      <items count="5">
        <item x="3"/>
        <item x="1"/>
        <item x="0"/>
        <item x="2"/>
        <item t="default"/>
      </items>
    </pivotField>
    <pivotField compact="0" numFmtId="171" outline="0" showAll="0"/>
    <pivotField dataField="1" compact="0" numFmtId="171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omme de Sales" fld="12" baseField="0" baseItem="0" numFmtId="42"/>
  </dataFields>
  <chartFormats count="12"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55080-94D1-EC46-9F3D-CBCF71C593A5}" name="Tableau croisé dynamique1" cacheId="3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compact="0" compactData="0" multipleFieldFilters="0" chartFormat="29">
  <location ref="A3:B9" firstHeaderRow="1" firstDataRow="1" firstDataCol="1"/>
  <pivotFields count="18">
    <pivotField compact="0" outline="0" showAll="0"/>
    <pivotField compact="0" numFmtId="168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70" outline="0" showAll="0">
      <items count="5">
        <item x="3"/>
        <item x="1"/>
        <item x="0"/>
        <item x="2"/>
        <item t="default"/>
      </items>
    </pivotField>
    <pivotField compact="0" numFmtId="171" outline="0" showAll="0"/>
    <pivotField dataField="1" compact="0" numFmtId="171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Somme de Sales" fld="12" baseField="0" baseItem="0" numFmtId="42"/>
  </dataFields>
  <chartFormats count="4">
    <chartFormat chart="1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9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ze" xr10:uid="{BFAFA090-C772-334A-821D-B5586F4556E2}" sourceName="Size">
  <pivotTables>
    <pivotTable tabId="18" name="Tableau croisé dynamique1"/>
    <pivotTable tabId="19" name="Tableau croisé dynamique1"/>
    <pivotTable tabId="20" name="Tableau croisé dynamique1"/>
  </pivotTables>
  <data>
    <tabular pivotCacheId="629933876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oast_Type_Name" xr10:uid="{42AAE1F9-E499-1143-B03A-01FB5E4F8282}" sourceName="Roast Type Name">
  <pivotTables>
    <pivotTable tabId="18" name="Tableau croisé dynamique1"/>
    <pivotTable tabId="19" name="Tableau croisé dynamique1"/>
    <pivotTable tabId="20" name="Tableau croisé dynamique1"/>
  </pivotTables>
  <data>
    <tabular pivotCacheId="629933876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yalty_Card" xr10:uid="{2EEF7128-1D0E-D841-A64C-6EF608451179}" sourceName="Loyalty Card">
  <pivotTables>
    <pivotTable tabId="18" name="Tableau croisé dynamique1"/>
    <pivotTable tabId="19" name="Tableau croisé dynamique1"/>
    <pivotTable tabId="20" name="Tableau croisé dynamique1"/>
  </pivotTables>
  <data>
    <tabular pivotCacheId="62993387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A44F7DFE-77F2-0A45-A9BD-F820A69D6632}" cache="Segment_Size" caption="Size" columnCount="2" rowHeight="230716"/>
  <slicer name="Roast Type Name 2" xr10:uid="{0A0F49BF-5882-2B48-936E-C1CF4BD187A4}" cache="Segment_Roast_Type_Name" caption="Roast Type Name" columnCount="3" rowHeight="230716"/>
  <slicer name="Loyalty Card" xr10:uid="{E6CA7A97-1B29-0040-BFB2-DD3F85C8003D}" cache="Segment_Loyalty_Card" caption="Loyalty Card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C40F8-CB4D-684A-870A-52F3744B1BFD}" name="Tableau1" displayName="Tableau1" ref="A1:P1001" totalsRowShown="0" headerRowDxfId="16">
  <autoFilter ref="A1:P1001" xr:uid="{AB8C40F8-CB4D-684A-870A-52F3744B1BFD}"/>
  <tableColumns count="16">
    <tableColumn id="1" xr3:uid="{4FB147DE-0D7F-EC4E-A584-E25579228559}" name="Order ID" dataDxfId="19"/>
    <tableColumn id="2" xr3:uid="{221C8960-0F70-E54F-AD65-2DB2681EB09D}" name="Order Date" dataDxfId="18"/>
    <tableColumn id="3" xr3:uid="{D84F442D-7466-1C43-93A7-E3A84334F3C0}" name="Customer ID" dataDxfId="17"/>
    <tableColumn id="4" xr3:uid="{153D933D-AA48-1444-BCB1-33633F89176D}" name="Product ID"/>
    <tableColumn id="5" xr3:uid="{428B3386-AF6F-1249-B4A5-76B382CC3DED}" name="Quantity" dataDxfId="11"/>
    <tableColumn id="6" xr3:uid="{AB1F8F95-B57F-0D44-9DB1-BB70FDF236CB}" name="Customer Name" dataDxfId="10">
      <calculatedColumnFormula>_xlfn.XLOOKUP(orders!C2,customers!$A$2:$A$1001,customers!$B$2:$B$1001)</calculatedColumnFormula>
    </tableColumn>
    <tableColumn id="7" xr3:uid="{21F51D23-C8B2-E94A-93D9-ACFC9CE6F9A3}" name="Email" dataDxfId="9">
      <calculatedColumnFormula>IF(_xlfn.XLOOKUP(orders!C2,customers!$A$2:$A$1001,customers!$C$2:$C$1001,,,)=0,"",_xlfn.XLOOKUP(orders!C2,customers!$A$2:$A$1001,customers!$C$2:$C$1001,,,))</calculatedColumnFormula>
    </tableColumn>
    <tableColumn id="8" xr3:uid="{025C3FEB-4DD6-874C-9B7C-0D6AA9795F26}" name="Country" dataDxfId="8">
      <calculatedColumnFormula>_xlfn.XLOOKUP(C2,customers!$A$2:$A$1001,customers!$G$2:$G$1001,"")</calculatedColumnFormula>
    </tableColumn>
    <tableColumn id="9" xr3:uid="{A6362A8F-3A59-C142-8634-83BFD6E1D1B5}" name="Coffee Type" dataDxfId="7">
      <calculatedColumnFormula>INDEX(products!$A$2:$G$49,MATCH(orders!$D2,products!$A$2:$A$49,0),MATCH(orders!I$1,products!$A$1:$G$1,0))</calculatedColumnFormula>
    </tableColumn>
    <tableColumn id="10" xr3:uid="{8820562F-2CB5-BD46-B5C9-65BEF6A30A96}" name="Roast Type" dataDxfId="6">
      <calculatedColumnFormula>INDEX(products!$A$2:$G$49,MATCH(orders!$D2,products!$A$2:$A$49,0),MATCH(orders!J$1,products!$A$1:$G$1,0))</calculatedColumnFormula>
    </tableColumn>
    <tableColumn id="11" xr3:uid="{149CFE82-8670-484C-9E1C-1434852F64AE}" name="Size" dataDxfId="5">
      <calculatedColumnFormula>INDEX(products!$A$2:$G$49,MATCH(orders!$D2,products!$A$2:$A$49,0),MATCH(orders!K$1,products!$A$1:$G$1,0))</calculatedColumnFormula>
    </tableColumn>
    <tableColumn id="12" xr3:uid="{0C2EDED4-3746-3E4A-9CFD-63E292C22F41}" name="Unit Price" dataDxfId="4">
      <calculatedColumnFormula>INDEX(products!$A$2:$G$49,MATCH(orders!$D2,products!$A$2:$A$49,0),MATCH(orders!L$1,products!$A$1:$G$1,0))</calculatedColumnFormula>
    </tableColumn>
    <tableColumn id="13" xr3:uid="{EDA7F5D4-EB61-BB43-BAEA-1060025B49F1}" name="Sales" dataDxfId="3">
      <calculatedColumnFormula>L2*E2</calculatedColumnFormula>
    </tableColumn>
    <tableColumn id="14" xr3:uid="{BD7E06C9-598B-4444-811D-7EE5ED0EF716}" name="Coffe Type Name" dataDxfId="2">
      <calculatedColumnFormula>IF(I2="Rob","Robusta",IF(I2="Exc","Excelsa",IF(I2="Ara","Arabica",IF(I2="Lib","Liberica"))))</calculatedColumnFormula>
    </tableColumn>
    <tableColumn id="15" xr3:uid="{193DE689-AB59-D349-949F-1606003A49C3}" name="Roast Type Name" dataDxfId="1">
      <calculatedColumnFormula>IF(J2="M","Medium",IF(J2="L","Light",IF(J2="D","Dark")))</calculatedColumnFormula>
    </tableColumn>
    <tableColumn id="16" xr3:uid="{6B5F3DED-4063-3144-B21F-B7B8B2C90CA4}" name="Loyalty Card" dataDxfId="0">
      <calculatedColumnFormula>_xlfn.XLOOKUP(Tableau1[[#This Row],[Customer ID]],customers!A$2:A$1001,customers!I$2:I$1001)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D5ABA5FA-2E7B-EC4B-9C69-08712EF372E6}" sourceName="Order Date">
  <pivotTables>
    <pivotTable tabId="18" name="Tableau croisé dynamique1"/>
    <pivotTable tabId="19" name="Tableau croisé dynamique1"/>
    <pivotTable tabId="20" name="Tableau croisé dynamique1"/>
  </pivotTables>
  <state minimalRefreshVersion="6" lastRefreshVersion="6" pivotCacheId="629933876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6F22F69-694D-F74F-BCD9-DE0DAC90C2D5}" cache="ChronologieNativ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Normal="115" workbookViewId="0">
      <selection activeCell="S17" sqref="S17"/>
    </sheetView>
  </sheetViews>
  <sheetFormatPr baseColWidth="10" defaultColWidth="8.83203125" defaultRowHeight="15" x14ac:dyDescent="0.2"/>
  <cols>
    <col min="1" max="1" width="16.5" bestFit="1" customWidth="1"/>
    <col min="2" max="2" width="12" customWidth="1"/>
    <col min="3" max="3" width="17.5" bestFit="1" customWidth="1"/>
    <col min="4" max="4" width="11.6640625" customWidth="1"/>
    <col min="5" max="5" width="10.33203125" customWidth="1"/>
    <col min="6" max="6" width="20.5" bestFit="1" customWidth="1"/>
    <col min="7" max="7" width="33.83203125" bestFit="1" customWidth="1"/>
    <col min="8" max="8" width="13.5" bestFit="1" customWidth="1"/>
    <col min="9" max="9" width="12.5" customWidth="1"/>
    <col min="10" max="10" width="11.6640625" customWidth="1"/>
    <col min="11" max="11" width="6.5" customWidth="1"/>
    <col min="12" max="12" width="11.1640625" customWidth="1"/>
    <col min="13" max="13" width="7.6640625" bestFit="1" customWidth="1"/>
    <col min="14" max="14" width="16.33203125" customWidth="1"/>
    <col min="15" max="15" width="16.5" customWidth="1"/>
    <col min="16" max="16" width="10.6640625" bestFit="1" customWidth="1"/>
    <col min="17" max="17" width="15.33203125" bestFit="1" customWidth="1"/>
  </cols>
  <sheetData>
    <row r="1" spans="1:16" x14ac:dyDescent="0.2">
      <c r="A1" s="4" t="s">
        <v>0</v>
      </c>
      <c r="B1" s="4" t="s">
        <v>1</v>
      </c>
      <c r="C1" s="4" t="s">
        <v>3</v>
      </c>
      <c r="D1" s="4" t="s">
        <v>11</v>
      </c>
      <c r="E1" s="4" t="s">
        <v>14</v>
      </c>
      <c r="F1" s="4" t="s">
        <v>4</v>
      </c>
      <c r="G1" s="4" t="s">
        <v>2</v>
      </c>
      <c r="H1" s="4" t="s">
        <v>7</v>
      </c>
      <c r="I1" s="4" t="s">
        <v>9</v>
      </c>
      <c r="J1" s="4" t="s">
        <v>10</v>
      </c>
      <c r="K1" s="4" t="s">
        <v>12</v>
      </c>
      <c r="L1" s="4" t="s">
        <v>13</v>
      </c>
      <c r="M1" s="4" t="s">
        <v>15</v>
      </c>
      <c r="N1" s="4" t="s">
        <v>6197</v>
      </c>
      <c r="O1" s="4" t="s">
        <v>6196</v>
      </c>
      <c r="P1" s="4" t="s">
        <v>6189</v>
      </c>
    </row>
    <row r="2" spans="1:16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9" t="str">
        <f>_xlfn.XLOOKUP(orders!C2,customers!$A$2:$A$1001,customers!$B$2:$B$1001)</f>
        <v>Aloisia Allner</v>
      </c>
      <c r="G2" s="9" t="str">
        <f>IF(_xlfn.XLOOKUP(orders!C2,customers!$A$2:$A$1001,customers!$C$2:$C$1001,,,)=0,"",_xlfn.XLOOKUP(orders!C2,customers!$A$2:$A$1001,customers!$C$2:$C$1001,,,))</f>
        <v>aallner0@lulu.com</v>
      </c>
      <c r="H2" s="9" t="str">
        <f>_xlfn.XLOOKUP(C2,customers!$A$2:$A$1001,customers!$G$2:$G$1001,"")</f>
        <v>United States</v>
      </c>
      <c r="I2" s="10" t="str">
        <f>INDEX(products!$A$2:$G$49,MATCH(orders!$D2,products!$A$2:$A$49,0),MATCH(orders!I$1,products!$A$1:$G$1,0))</f>
        <v>Rob</v>
      </c>
      <c r="J2" s="10" t="str">
        <f>INDEX(products!$A$2:$G$49,MATCH(orders!$D2,products!$A$2:$A$49,0),MATCH(orders!J$1,products!$A$1:$G$1,0))</f>
        <v>M</v>
      </c>
      <c r="K2" s="11">
        <f>INDEX(products!$A$2:$G$49,MATCH(orders!$D2,products!$A$2:$A$49,0),MATCH(orders!K$1,products!$A$1:$G$1,0))</f>
        <v>1</v>
      </c>
      <c r="L2" s="12">
        <f>INDEX(products!$A$2:$G$49,MATCH(orders!$D2,products!$A$2:$A$49,0),MATCH(orders!L$1,products!$A$1:$G$1,0))</f>
        <v>9.9499999999999993</v>
      </c>
      <c r="M2" s="12">
        <f>L2*E2</f>
        <v>19.899999999999999</v>
      </c>
      <c r="N2" s="10" t="str">
        <f>IF(I2="Rob","Robusta",IF(I2="Exc","Excelsa",IF(I2="Ara","Arabica",IF(I2="Lib","Liberica"))))</f>
        <v>Robusta</v>
      </c>
      <c r="O2" s="10" t="str">
        <f>IF(J2="M","Medium",IF(J2="L","Light",IF(J2="D","Dark")))</f>
        <v>Medium</v>
      </c>
      <c r="P2" s="10" t="str">
        <f>_xlfn.XLOOKUP(Tableau1[[#This Row],[Customer ID]],customers!A$2:A$1001,customers!I$2:I$1001)</f>
        <v>Yes</v>
      </c>
    </row>
    <row r="3" spans="1:16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9" t="str">
        <f>_xlfn.XLOOKUP(orders!C3,customers!$A$2:$A$1001,customers!$B$2:$B$1001)</f>
        <v>Aloisia Allner</v>
      </c>
      <c r="G3" s="9" t="str">
        <f>IF(_xlfn.XLOOKUP(orders!C3,customers!$A$2:$A$1001,customers!$C$2:$C$1001,,,)=0,"",_xlfn.XLOOKUP(orders!C3,customers!$A$2:$A$1001,customers!$C$2:$C$1001,,,))</f>
        <v>aallner0@lulu.com</v>
      </c>
      <c r="H3" s="9" t="str">
        <f>_xlfn.XLOOKUP(C3,customers!$A$2:$A$1001,customers!$G$2:$G$1001,"")</f>
        <v>United States</v>
      </c>
      <c r="I3" s="10" t="str">
        <f>INDEX(products!$A$2:$G$49,MATCH(orders!$D3,products!$A$2:$A$49,0),MATCH(orders!I$1,products!$A$1:$G$1,0))</f>
        <v>Exc</v>
      </c>
      <c r="J3" s="10" t="str">
        <f>INDEX(products!$A$2:$G$49,MATCH(orders!$D3,products!$A$2:$A$49,0),MATCH(orders!J$1,products!$A$1:$G$1,0))</f>
        <v>M</v>
      </c>
      <c r="K3" s="11">
        <f>INDEX(products!$A$2:$G$49,MATCH(orders!$D3,products!$A$2:$A$49,0),MATCH(orders!K$1,products!$A$1:$G$1,0))</f>
        <v>0.5</v>
      </c>
      <c r="L3" s="12">
        <f>INDEX(products!$A$2:$G$49,MATCH(orders!$D3,products!$A$2:$A$49,0),MATCH(orders!L$1,products!$A$1:$G$1,0))</f>
        <v>8.25</v>
      </c>
      <c r="M3" s="12">
        <f t="shared" ref="M3:M66" si="0">L3*E3</f>
        <v>41.25</v>
      </c>
      <c r="N3" s="10" t="str">
        <f t="shared" ref="N3:N66" si="1">IF(I3="Rob","Robusta",IF(I3="Exc","Excelsa",IF(I3="Ara","Arabica",IF(I3="Lib","Liberica"))))</f>
        <v>Excelsa</v>
      </c>
      <c r="O3" s="10" t="str">
        <f t="shared" ref="O3:O66" si="2">IF(J3="M","Medium",IF(J3="L","Light",IF(J3="D","Dark")))</f>
        <v>Medium</v>
      </c>
      <c r="P3" s="10" t="str">
        <f>_xlfn.XLOOKUP(Tableau1[[#This Row],[Customer ID]],customers!A$2:A$1001,customers!I$2:I$1001)</f>
        <v>Yes</v>
      </c>
    </row>
    <row r="4" spans="1:16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9" t="str">
        <f>_xlfn.XLOOKUP(orders!C4,customers!$A$2:$A$1001,customers!$B$2:$B$1001)</f>
        <v>Jami Redholes</v>
      </c>
      <c r="G4" s="9" t="str">
        <f>IF(_xlfn.XLOOKUP(orders!C4,customers!$A$2:$A$1001,customers!$C$2:$C$1001,,,)=0,"",_xlfn.XLOOKUP(orders!C4,customers!$A$2:$A$1001,customers!$C$2:$C$1001,,,))</f>
        <v>jredholes2@tmall.com</v>
      </c>
      <c r="H4" s="9" t="str">
        <f>_xlfn.XLOOKUP(C4,customers!$A$2:$A$1001,customers!$G$2:$G$1001,"")</f>
        <v>United States</v>
      </c>
      <c r="I4" s="10" t="str">
        <f>INDEX(products!$A$2:$G$49,MATCH(orders!$D4,products!$A$2:$A$49,0),MATCH(orders!I$1,products!$A$1:$G$1,0))</f>
        <v>Ara</v>
      </c>
      <c r="J4" s="10" t="str">
        <f>INDEX(products!$A$2:$G$49,MATCH(orders!$D4,products!$A$2:$A$49,0),MATCH(orders!J$1,products!$A$1:$G$1,0))</f>
        <v>L</v>
      </c>
      <c r="K4" s="11">
        <f>INDEX(products!$A$2:$G$49,MATCH(orders!$D4,products!$A$2:$A$49,0),MATCH(orders!K$1,products!$A$1:$G$1,0))</f>
        <v>1</v>
      </c>
      <c r="L4" s="12">
        <f>INDEX(products!$A$2:$G$49,MATCH(orders!$D4,products!$A$2:$A$49,0),MATCH(orders!L$1,products!$A$1:$G$1,0))</f>
        <v>12.95</v>
      </c>
      <c r="M4" s="12">
        <f t="shared" si="0"/>
        <v>12.95</v>
      </c>
      <c r="N4" s="10" t="str">
        <f t="shared" si="1"/>
        <v>Arabica</v>
      </c>
      <c r="O4" s="10" t="str">
        <f t="shared" si="2"/>
        <v>Light</v>
      </c>
      <c r="P4" s="10" t="str">
        <f>_xlfn.XLOOKUP(Tableau1[[#This Row],[Customer ID]],customers!A$2:A$1001,customers!I$2:I$1001)</f>
        <v>Yes</v>
      </c>
    </row>
    <row r="5" spans="1:16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9" t="str">
        <f>_xlfn.XLOOKUP(orders!C5,customers!$A$2:$A$1001,customers!$B$2:$B$1001)</f>
        <v>Christoffer O' Shea</v>
      </c>
      <c r="G5" s="9" t="str">
        <f>IF(_xlfn.XLOOKUP(orders!C5,customers!$A$2:$A$1001,customers!$C$2:$C$1001,,,)=0,"",_xlfn.XLOOKUP(orders!C5,customers!$A$2:$A$1001,customers!$C$2:$C$1001,,,))</f>
        <v/>
      </c>
      <c r="H5" s="9" t="str">
        <f>_xlfn.XLOOKUP(C5,customers!$A$2:$A$1001,customers!$G$2:$G$1001,"")</f>
        <v>Ireland</v>
      </c>
      <c r="I5" s="10" t="str">
        <f>INDEX(products!$A$2:$G$49,MATCH(orders!$D5,products!$A$2:$A$49,0),MATCH(orders!I$1,products!$A$1:$G$1,0))</f>
        <v>Exc</v>
      </c>
      <c r="J5" s="10" t="str">
        <f>INDEX(products!$A$2:$G$49,MATCH(orders!$D5,products!$A$2:$A$49,0),MATCH(orders!J$1,products!$A$1:$G$1,0))</f>
        <v>M</v>
      </c>
      <c r="K5" s="11">
        <f>INDEX(products!$A$2:$G$49,MATCH(orders!$D5,products!$A$2:$A$49,0),MATCH(orders!K$1,products!$A$1:$G$1,0))</f>
        <v>1</v>
      </c>
      <c r="L5" s="12">
        <f>INDEX(products!$A$2:$G$49,MATCH(orders!$D5,products!$A$2:$A$49,0),MATCH(orders!L$1,products!$A$1:$G$1,0))</f>
        <v>13.75</v>
      </c>
      <c r="M5" s="12">
        <f t="shared" si="0"/>
        <v>27.5</v>
      </c>
      <c r="N5" s="10" t="str">
        <f t="shared" si="1"/>
        <v>Excelsa</v>
      </c>
      <c r="O5" s="10" t="str">
        <f t="shared" si="2"/>
        <v>Medium</v>
      </c>
      <c r="P5" s="10" t="str">
        <f>_xlfn.XLOOKUP(Tableau1[[#This Row],[Customer ID]],customers!A$2:A$1001,customers!I$2:I$1001)</f>
        <v>No</v>
      </c>
    </row>
    <row r="6" spans="1:16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9" t="str">
        <f>_xlfn.XLOOKUP(orders!C6,customers!$A$2:$A$1001,customers!$B$2:$B$1001)</f>
        <v>Christoffer O' Shea</v>
      </c>
      <c r="G6" s="9" t="str">
        <f>IF(_xlfn.XLOOKUP(orders!C6,customers!$A$2:$A$1001,customers!$C$2:$C$1001,,,)=0,"",_xlfn.XLOOKUP(orders!C6,customers!$A$2:$A$1001,customers!$C$2:$C$1001,,,))</f>
        <v/>
      </c>
      <c r="H6" s="9" t="str">
        <f>_xlfn.XLOOKUP(C6,customers!$A$2:$A$1001,customers!$G$2:$G$1001,"")</f>
        <v>Ireland</v>
      </c>
      <c r="I6" s="10" t="str">
        <f>INDEX(products!$A$2:$G$49,MATCH(orders!$D6,products!$A$2:$A$49,0),MATCH(orders!I$1,products!$A$1:$G$1,0))</f>
        <v>Rob</v>
      </c>
      <c r="J6" s="10" t="str">
        <f>INDEX(products!$A$2:$G$49,MATCH(orders!$D6,products!$A$2:$A$49,0),MATCH(orders!J$1,products!$A$1:$G$1,0))</f>
        <v>L</v>
      </c>
      <c r="K6" s="11">
        <f>INDEX(products!$A$2:$G$49,MATCH(orders!$D6,products!$A$2:$A$49,0),MATCH(orders!K$1,products!$A$1:$G$1,0))</f>
        <v>2.5</v>
      </c>
      <c r="L6" s="12">
        <f>INDEX(products!$A$2:$G$49,MATCH(orders!$D6,products!$A$2:$A$49,0),MATCH(orders!L$1,products!$A$1:$G$1,0))</f>
        <v>27.484999999999996</v>
      </c>
      <c r="M6" s="12">
        <f t="shared" si="0"/>
        <v>54.969999999999992</v>
      </c>
      <c r="N6" s="10" t="str">
        <f t="shared" si="1"/>
        <v>Robusta</v>
      </c>
      <c r="O6" s="10" t="str">
        <f t="shared" si="2"/>
        <v>Light</v>
      </c>
      <c r="P6" s="10" t="str">
        <f>_xlfn.XLOOKUP(Tableau1[[#This Row],[Customer ID]],customers!A$2:A$1001,customers!I$2:I$1001)</f>
        <v>No</v>
      </c>
    </row>
    <row r="7" spans="1:16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9" t="str">
        <f>_xlfn.XLOOKUP(orders!C7,customers!$A$2:$A$1001,customers!$B$2:$B$1001)</f>
        <v>Beryle Cottier</v>
      </c>
      <c r="G7" s="9" t="str">
        <f>IF(_xlfn.XLOOKUP(orders!C7,customers!$A$2:$A$1001,customers!$C$2:$C$1001,,,)=0,"",_xlfn.XLOOKUP(orders!C7,customers!$A$2:$A$1001,customers!$C$2:$C$1001,,,))</f>
        <v/>
      </c>
      <c r="H7" s="9" t="str">
        <f>_xlfn.XLOOKUP(C7,customers!$A$2:$A$1001,customers!$G$2:$G$1001,"")</f>
        <v>United States</v>
      </c>
      <c r="I7" s="10" t="str">
        <f>INDEX(products!$A$2:$G$49,MATCH(orders!$D7,products!$A$2:$A$49,0),MATCH(orders!I$1,products!$A$1:$G$1,0))</f>
        <v>Lib</v>
      </c>
      <c r="J7" s="10" t="str">
        <f>INDEX(products!$A$2:$G$49,MATCH(orders!$D7,products!$A$2:$A$49,0),MATCH(orders!J$1,products!$A$1:$G$1,0))</f>
        <v>D</v>
      </c>
      <c r="K7" s="11">
        <f>INDEX(products!$A$2:$G$49,MATCH(orders!$D7,products!$A$2:$A$49,0),MATCH(orders!K$1,products!$A$1:$G$1,0))</f>
        <v>1</v>
      </c>
      <c r="L7" s="12">
        <f>INDEX(products!$A$2:$G$49,MATCH(orders!$D7,products!$A$2:$A$49,0),MATCH(orders!L$1,products!$A$1:$G$1,0))</f>
        <v>12.95</v>
      </c>
      <c r="M7" s="12">
        <f t="shared" si="0"/>
        <v>38.849999999999994</v>
      </c>
      <c r="N7" s="10" t="str">
        <f t="shared" si="1"/>
        <v>Liberica</v>
      </c>
      <c r="O7" s="10" t="str">
        <f t="shared" si="2"/>
        <v>Dark</v>
      </c>
      <c r="P7" s="10" t="str">
        <f>_xlfn.XLOOKUP(Tableau1[[#This Row],[Customer ID]],customers!A$2:A$1001,customers!I$2:I$1001)</f>
        <v>No</v>
      </c>
    </row>
    <row r="8" spans="1:16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9" t="str">
        <f>_xlfn.XLOOKUP(orders!C8,customers!$A$2:$A$1001,customers!$B$2:$B$1001)</f>
        <v>Shaylynn Lobe</v>
      </c>
      <c r="G8" s="9" t="str">
        <f>IF(_xlfn.XLOOKUP(orders!C8,customers!$A$2:$A$1001,customers!$C$2:$C$1001,,,)=0,"",_xlfn.XLOOKUP(orders!C8,customers!$A$2:$A$1001,customers!$C$2:$C$1001,,,))</f>
        <v>slobe6@nifty.com</v>
      </c>
      <c r="H8" s="9" t="str">
        <f>_xlfn.XLOOKUP(C8,customers!$A$2:$A$1001,customers!$G$2:$G$1001,"")</f>
        <v>United States</v>
      </c>
      <c r="I8" s="10" t="str">
        <f>INDEX(products!$A$2:$G$49,MATCH(orders!$D8,products!$A$2:$A$49,0),MATCH(orders!I$1,products!$A$1:$G$1,0))</f>
        <v>Exc</v>
      </c>
      <c r="J8" s="10" t="str">
        <f>INDEX(products!$A$2:$G$49,MATCH(orders!$D8,products!$A$2:$A$49,0),MATCH(orders!J$1,products!$A$1:$G$1,0))</f>
        <v>D</v>
      </c>
      <c r="K8" s="11">
        <f>INDEX(products!$A$2:$G$49,MATCH(orders!$D8,products!$A$2:$A$49,0),MATCH(orders!K$1,products!$A$1:$G$1,0))</f>
        <v>0.5</v>
      </c>
      <c r="L8" s="12">
        <f>INDEX(products!$A$2:$G$49,MATCH(orders!$D8,products!$A$2:$A$49,0),MATCH(orders!L$1,products!$A$1:$G$1,0))</f>
        <v>7.29</v>
      </c>
      <c r="M8" s="12">
        <f t="shared" si="0"/>
        <v>21.87</v>
      </c>
      <c r="N8" s="10" t="str">
        <f t="shared" si="1"/>
        <v>Excelsa</v>
      </c>
      <c r="O8" s="10" t="str">
        <f t="shared" si="2"/>
        <v>Dark</v>
      </c>
      <c r="P8" s="10" t="str">
        <f>_xlfn.XLOOKUP(Tableau1[[#This Row],[Customer ID]],customers!A$2:A$1001,customers!I$2:I$1001)</f>
        <v>Yes</v>
      </c>
    </row>
    <row r="9" spans="1:16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9" t="str">
        <f>_xlfn.XLOOKUP(orders!C9,customers!$A$2:$A$1001,customers!$B$2:$B$1001)</f>
        <v>Melvin Wharfe</v>
      </c>
      <c r="G9" s="9" t="str">
        <f>IF(_xlfn.XLOOKUP(orders!C9,customers!$A$2:$A$1001,customers!$C$2:$C$1001,,,)=0,"",_xlfn.XLOOKUP(orders!C9,customers!$A$2:$A$1001,customers!$C$2:$C$1001,,,))</f>
        <v/>
      </c>
      <c r="H9" s="9" t="str">
        <f>_xlfn.XLOOKUP(C9,customers!$A$2:$A$1001,customers!$G$2:$G$1001,"")</f>
        <v>Ireland</v>
      </c>
      <c r="I9" s="10" t="str">
        <f>INDEX(products!$A$2:$G$49,MATCH(orders!$D9,products!$A$2:$A$49,0),MATCH(orders!I$1,products!$A$1:$G$1,0))</f>
        <v>Lib</v>
      </c>
      <c r="J9" s="10" t="str">
        <f>INDEX(products!$A$2:$G$49,MATCH(orders!$D9,products!$A$2:$A$49,0),MATCH(orders!J$1,products!$A$1:$G$1,0))</f>
        <v>L</v>
      </c>
      <c r="K9" s="11">
        <f>INDEX(products!$A$2:$G$49,MATCH(orders!$D9,products!$A$2:$A$49,0),MATCH(orders!K$1,products!$A$1:$G$1,0))</f>
        <v>0.2</v>
      </c>
      <c r="L9" s="12">
        <f>INDEX(products!$A$2:$G$49,MATCH(orders!$D9,products!$A$2:$A$49,0),MATCH(orders!L$1,products!$A$1:$G$1,0))</f>
        <v>4.7549999999999999</v>
      </c>
      <c r="M9" s="12">
        <f t="shared" si="0"/>
        <v>4.7549999999999999</v>
      </c>
      <c r="N9" s="10" t="str">
        <f t="shared" si="1"/>
        <v>Liberica</v>
      </c>
      <c r="O9" s="10" t="str">
        <f t="shared" si="2"/>
        <v>Light</v>
      </c>
      <c r="P9" s="10" t="str">
        <f>_xlfn.XLOOKUP(Tableau1[[#This Row],[Customer ID]],customers!A$2:A$1001,customers!I$2:I$1001)</f>
        <v>Yes</v>
      </c>
    </row>
    <row r="10" spans="1:16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9" t="str">
        <f>_xlfn.XLOOKUP(orders!C10,customers!$A$2:$A$1001,customers!$B$2:$B$1001)</f>
        <v>Guthrey Petracci</v>
      </c>
      <c r="G10" s="9" t="str">
        <f>IF(_xlfn.XLOOKUP(orders!C10,customers!$A$2:$A$1001,customers!$C$2:$C$1001,,,)=0,"",_xlfn.XLOOKUP(orders!C10,customers!$A$2:$A$1001,customers!$C$2:$C$1001,,,))</f>
        <v>gpetracci8@livejournal.com</v>
      </c>
      <c r="H10" s="9" t="str">
        <f>_xlfn.XLOOKUP(C10,customers!$A$2:$A$1001,customers!$G$2:$G$1001,"")</f>
        <v>United States</v>
      </c>
      <c r="I10" s="10" t="str">
        <f>INDEX(products!$A$2:$G$49,MATCH(orders!$D10,products!$A$2:$A$49,0),MATCH(orders!I$1,products!$A$1:$G$1,0))</f>
        <v>Rob</v>
      </c>
      <c r="J10" s="10" t="str">
        <f>INDEX(products!$A$2:$G$49,MATCH(orders!$D10,products!$A$2:$A$49,0),MATCH(orders!J$1,products!$A$1:$G$1,0))</f>
        <v>M</v>
      </c>
      <c r="K10" s="11">
        <f>INDEX(products!$A$2:$G$49,MATCH(orders!$D10,products!$A$2:$A$49,0),MATCH(orders!K$1,products!$A$1:$G$1,0))</f>
        <v>0.5</v>
      </c>
      <c r="L10" s="12">
        <f>INDEX(products!$A$2:$G$49,MATCH(orders!$D10,products!$A$2:$A$49,0),MATCH(orders!L$1,products!$A$1:$G$1,0))</f>
        <v>5.97</v>
      </c>
      <c r="M10" s="12">
        <f t="shared" si="0"/>
        <v>17.91</v>
      </c>
      <c r="N10" s="10" t="str">
        <f t="shared" si="1"/>
        <v>Robusta</v>
      </c>
      <c r="O10" s="10" t="str">
        <f t="shared" si="2"/>
        <v>Medium</v>
      </c>
      <c r="P10" s="10" t="str">
        <f>_xlfn.XLOOKUP(Tableau1[[#This Row],[Customer ID]],customers!A$2:A$1001,customers!I$2:I$1001)</f>
        <v>No</v>
      </c>
    </row>
    <row r="11" spans="1:16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9" t="str">
        <f>_xlfn.XLOOKUP(orders!C11,customers!$A$2:$A$1001,customers!$B$2:$B$1001)</f>
        <v>Rodger Raven</v>
      </c>
      <c r="G11" s="9" t="str">
        <f>IF(_xlfn.XLOOKUP(orders!C11,customers!$A$2:$A$1001,customers!$C$2:$C$1001,,,)=0,"",_xlfn.XLOOKUP(orders!C11,customers!$A$2:$A$1001,customers!$C$2:$C$1001,,,))</f>
        <v>rraven9@ed.gov</v>
      </c>
      <c r="H11" s="9" t="str">
        <f>_xlfn.XLOOKUP(C11,customers!$A$2:$A$1001,customers!$G$2:$G$1001,"")</f>
        <v>United States</v>
      </c>
      <c r="I11" s="10" t="str">
        <f>INDEX(products!$A$2:$G$49,MATCH(orders!$D11,products!$A$2:$A$49,0),MATCH(orders!I$1,products!$A$1:$G$1,0))</f>
        <v>Rob</v>
      </c>
      <c r="J11" s="10" t="str">
        <f>INDEX(products!$A$2:$G$49,MATCH(orders!$D11,products!$A$2:$A$49,0),MATCH(orders!J$1,products!$A$1:$G$1,0))</f>
        <v>M</v>
      </c>
      <c r="K11" s="11">
        <f>INDEX(products!$A$2:$G$49,MATCH(orders!$D11,products!$A$2:$A$49,0),MATCH(orders!K$1,products!$A$1:$G$1,0))</f>
        <v>0.5</v>
      </c>
      <c r="L11" s="12">
        <f>INDEX(products!$A$2:$G$49,MATCH(orders!$D11,products!$A$2:$A$49,0),MATCH(orders!L$1,products!$A$1:$G$1,0))</f>
        <v>5.97</v>
      </c>
      <c r="M11" s="12">
        <f t="shared" si="0"/>
        <v>5.97</v>
      </c>
      <c r="N11" s="10" t="str">
        <f t="shared" si="1"/>
        <v>Robusta</v>
      </c>
      <c r="O11" s="10" t="str">
        <f t="shared" si="2"/>
        <v>Medium</v>
      </c>
      <c r="P11" s="10" t="str">
        <f>_xlfn.XLOOKUP(Tableau1[[#This Row],[Customer ID]],customers!A$2:A$1001,customers!I$2:I$1001)</f>
        <v>No</v>
      </c>
    </row>
    <row r="12" spans="1:16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9" t="str">
        <f>_xlfn.XLOOKUP(orders!C12,customers!$A$2:$A$1001,customers!$B$2:$B$1001)</f>
        <v>Ferrell Ferber</v>
      </c>
      <c r="G12" s="9" t="str">
        <f>IF(_xlfn.XLOOKUP(orders!C12,customers!$A$2:$A$1001,customers!$C$2:$C$1001,,,)=0,"",_xlfn.XLOOKUP(orders!C12,customers!$A$2:$A$1001,customers!$C$2:$C$1001,,,))</f>
        <v>fferbera@businesswire.com</v>
      </c>
      <c r="H12" s="9" t="str">
        <f>_xlfn.XLOOKUP(C12,customers!$A$2:$A$1001,customers!$G$2:$G$1001,"")</f>
        <v>United States</v>
      </c>
      <c r="I12" s="10" t="str">
        <f>INDEX(products!$A$2:$G$49,MATCH(orders!$D12,products!$A$2:$A$49,0),MATCH(orders!I$1,products!$A$1:$G$1,0))</f>
        <v>Ara</v>
      </c>
      <c r="J12" s="10" t="str">
        <f>INDEX(products!$A$2:$G$49,MATCH(orders!$D12,products!$A$2:$A$49,0),MATCH(orders!J$1,products!$A$1:$G$1,0))</f>
        <v>D</v>
      </c>
      <c r="K12" s="11">
        <f>INDEX(products!$A$2:$G$49,MATCH(orders!$D12,products!$A$2:$A$49,0),MATCH(orders!K$1,products!$A$1:$G$1,0))</f>
        <v>1</v>
      </c>
      <c r="L12" s="12">
        <f>INDEX(products!$A$2:$G$49,MATCH(orders!$D12,products!$A$2:$A$49,0),MATCH(orders!L$1,products!$A$1:$G$1,0))</f>
        <v>9.9499999999999993</v>
      </c>
      <c r="M12" s="12">
        <f t="shared" si="0"/>
        <v>39.799999999999997</v>
      </c>
      <c r="N12" s="10" t="str">
        <f t="shared" si="1"/>
        <v>Arabica</v>
      </c>
      <c r="O12" s="10" t="str">
        <f t="shared" si="2"/>
        <v>Dark</v>
      </c>
      <c r="P12" s="10" t="str">
        <f>_xlfn.XLOOKUP(Tableau1[[#This Row],[Customer ID]],customers!A$2:A$1001,customers!I$2:I$1001)</f>
        <v>No</v>
      </c>
    </row>
    <row r="13" spans="1:16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9" t="str">
        <f>_xlfn.XLOOKUP(orders!C13,customers!$A$2:$A$1001,customers!$B$2:$B$1001)</f>
        <v>Duky Phizackerly</v>
      </c>
      <c r="G13" s="9" t="str">
        <f>IF(_xlfn.XLOOKUP(orders!C13,customers!$A$2:$A$1001,customers!$C$2:$C$1001,,,)=0,"",_xlfn.XLOOKUP(orders!C13,customers!$A$2:$A$1001,customers!$C$2:$C$1001,,,))</f>
        <v>dphizackerlyb@utexas.edu</v>
      </c>
      <c r="H13" s="9" t="str">
        <f>_xlfn.XLOOKUP(C13,customers!$A$2:$A$1001,customers!$G$2:$G$1001,"")</f>
        <v>United States</v>
      </c>
      <c r="I13" s="10" t="str">
        <f>INDEX(products!$A$2:$G$49,MATCH(orders!$D13,products!$A$2:$A$49,0),MATCH(orders!I$1,products!$A$1:$G$1,0))</f>
        <v>Exc</v>
      </c>
      <c r="J13" s="10" t="str">
        <f>INDEX(products!$A$2:$G$49,MATCH(orders!$D13,products!$A$2:$A$49,0),MATCH(orders!J$1,products!$A$1:$G$1,0))</f>
        <v>L</v>
      </c>
      <c r="K13" s="11">
        <f>INDEX(products!$A$2:$G$49,MATCH(orders!$D13,products!$A$2:$A$49,0),MATCH(orders!K$1,products!$A$1:$G$1,0))</f>
        <v>2.5</v>
      </c>
      <c r="L13" s="12">
        <f>INDEX(products!$A$2:$G$49,MATCH(orders!$D13,products!$A$2:$A$49,0),MATCH(orders!L$1,products!$A$1:$G$1,0))</f>
        <v>34.154999999999994</v>
      </c>
      <c r="M13" s="12">
        <f t="shared" si="0"/>
        <v>170.77499999999998</v>
      </c>
      <c r="N13" s="10" t="str">
        <f t="shared" si="1"/>
        <v>Excelsa</v>
      </c>
      <c r="O13" s="10" t="str">
        <f t="shared" si="2"/>
        <v>Light</v>
      </c>
      <c r="P13" s="10" t="str">
        <f>_xlfn.XLOOKUP(Tableau1[[#This Row],[Customer ID]],customers!A$2:A$1001,customers!I$2:I$1001)</f>
        <v>Yes</v>
      </c>
    </row>
    <row r="14" spans="1:16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9" t="str">
        <f>_xlfn.XLOOKUP(orders!C14,customers!$A$2:$A$1001,customers!$B$2:$B$1001)</f>
        <v>Rosaleen Scholar</v>
      </c>
      <c r="G14" s="9" t="str">
        <f>IF(_xlfn.XLOOKUP(orders!C14,customers!$A$2:$A$1001,customers!$C$2:$C$1001,,,)=0,"",_xlfn.XLOOKUP(orders!C14,customers!$A$2:$A$1001,customers!$C$2:$C$1001,,,))</f>
        <v>rscholarc@nyu.edu</v>
      </c>
      <c r="H14" s="9" t="str">
        <f>_xlfn.XLOOKUP(C14,customers!$A$2:$A$1001,customers!$G$2:$G$1001,"")</f>
        <v>United States</v>
      </c>
      <c r="I14" s="10" t="str">
        <f>INDEX(products!$A$2:$G$49,MATCH(orders!$D14,products!$A$2:$A$49,0),MATCH(orders!I$1,products!$A$1:$G$1,0))</f>
        <v>Rob</v>
      </c>
      <c r="J14" s="10" t="str">
        <f>INDEX(products!$A$2:$G$49,MATCH(orders!$D14,products!$A$2:$A$49,0),MATCH(orders!J$1,products!$A$1:$G$1,0))</f>
        <v>M</v>
      </c>
      <c r="K14" s="11">
        <f>INDEX(products!$A$2:$G$49,MATCH(orders!$D14,products!$A$2:$A$49,0),MATCH(orders!K$1,products!$A$1:$G$1,0))</f>
        <v>1</v>
      </c>
      <c r="L14" s="12">
        <f>INDEX(products!$A$2:$G$49,MATCH(orders!$D14,products!$A$2:$A$49,0),MATCH(orders!L$1,products!$A$1:$G$1,0))</f>
        <v>9.9499999999999993</v>
      </c>
      <c r="M14" s="12">
        <f t="shared" si="0"/>
        <v>49.75</v>
      </c>
      <c r="N14" s="10" t="str">
        <f t="shared" si="1"/>
        <v>Robusta</v>
      </c>
      <c r="O14" s="10" t="str">
        <f t="shared" si="2"/>
        <v>Medium</v>
      </c>
      <c r="P14" s="10" t="str">
        <f>_xlfn.XLOOKUP(Tableau1[[#This Row],[Customer ID]],customers!A$2:A$1001,customers!I$2:I$1001)</f>
        <v>No</v>
      </c>
    </row>
    <row r="15" spans="1:16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9" t="str">
        <f>_xlfn.XLOOKUP(orders!C15,customers!$A$2:$A$1001,customers!$B$2:$B$1001)</f>
        <v>Terence Vanyutin</v>
      </c>
      <c r="G15" s="9" t="str">
        <f>IF(_xlfn.XLOOKUP(orders!C15,customers!$A$2:$A$1001,customers!$C$2:$C$1001,,,)=0,"",_xlfn.XLOOKUP(orders!C15,customers!$A$2:$A$1001,customers!$C$2:$C$1001,,,))</f>
        <v>tvanyutind@wix.com</v>
      </c>
      <c r="H15" s="9" t="str">
        <f>_xlfn.XLOOKUP(C15,customers!$A$2:$A$1001,customers!$G$2:$G$1001,"")</f>
        <v>United States</v>
      </c>
      <c r="I15" s="10" t="str">
        <f>INDEX(products!$A$2:$G$49,MATCH(orders!$D15,products!$A$2:$A$49,0),MATCH(orders!I$1,products!$A$1:$G$1,0))</f>
        <v>Rob</v>
      </c>
      <c r="J15" s="10" t="str">
        <f>INDEX(products!$A$2:$G$49,MATCH(orders!$D15,products!$A$2:$A$49,0),MATCH(orders!J$1,products!$A$1:$G$1,0))</f>
        <v>D</v>
      </c>
      <c r="K15" s="11">
        <f>INDEX(products!$A$2:$G$49,MATCH(orders!$D15,products!$A$2:$A$49,0),MATCH(orders!K$1,products!$A$1:$G$1,0))</f>
        <v>2.5</v>
      </c>
      <c r="L15" s="12">
        <f>INDEX(products!$A$2:$G$49,MATCH(orders!$D15,products!$A$2:$A$49,0),MATCH(orders!L$1,products!$A$1:$G$1,0))</f>
        <v>20.584999999999997</v>
      </c>
      <c r="M15" s="12">
        <f t="shared" si="0"/>
        <v>41.169999999999995</v>
      </c>
      <c r="N15" s="10" t="str">
        <f t="shared" si="1"/>
        <v>Robusta</v>
      </c>
      <c r="O15" s="10" t="str">
        <f t="shared" si="2"/>
        <v>Dark</v>
      </c>
      <c r="P15" s="10" t="str">
        <f>_xlfn.XLOOKUP(Tableau1[[#This Row],[Customer ID]],customers!A$2:A$1001,customers!I$2:I$1001)</f>
        <v>No</v>
      </c>
    </row>
    <row r="16" spans="1:16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9" t="str">
        <f>_xlfn.XLOOKUP(orders!C16,customers!$A$2:$A$1001,customers!$B$2:$B$1001)</f>
        <v>Patrice Trobe</v>
      </c>
      <c r="G16" s="9" t="str">
        <f>IF(_xlfn.XLOOKUP(orders!C16,customers!$A$2:$A$1001,customers!$C$2:$C$1001,,,)=0,"",_xlfn.XLOOKUP(orders!C16,customers!$A$2:$A$1001,customers!$C$2:$C$1001,,,))</f>
        <v>ptrobee@wunderground.com</v>
      </c>
      <c r="H16" s="9" t="str">
        <f>_xlfn.XLOOKUP(C16,customers!$A$2:$A$1001,customers!$G$2:$G$1001,"")</f>
        <v>United States</v>
      </c>
      <c r="I16" s="10" t="str">
        <f>INDEX(products!$A$2:$G$49,MATCH(orders!$D16,products!$A$2:$A$49,0),MATCH(orders!I$1,products!$A$1:$G$1,0))</f>
        <v>Lib</v>
      </c>
      <c r="J16" s="10" t="str">
        <f>INDEX(products!$A$2:$G$49,MATCH(orders!$D16,products!$A$2:$A$49,0),MATCH(orders!J$1,products!$A$1:$G$1,0))</f>
        <v>D</v>
      </c>
      <c r="K16" s="11">
        <f>INDEX(products!$A$2:$G$49,MATCH(orders!$D16,products!$A$2:$A$49,0),MATCH(orders!K$1,products!$A$1:$G$1,0))</f>
        <v>0.2</v>
      </c>
      <c r="L16" s="12">
        <f>INDEX(products!$A$2:$G$49,MATCH(orders!$D16,products!$A$2:$A$49,0),MATCH(orders!L$1,products!$A$1:$G$1,0))</f>
        <v>3.8849999999999998</v>
      </c>
      <c r="M16" s="12">
        <f t="shared" si="0"/>
        <v>11.654999999999999</v>
      </c>
      <c r="N16" s="10" t="str">
        <f t="shared" si="1"/>
        <v>Liberica</v>
      </c>
      <c r="O16" s="10" t="str">
        <f t="shared" si="2"/>
        <v>Dark</v>
      </c>
      <c r="P16" s="10" t="str">
        <f>_xlfn.XLOOKUP(Tableau1[[#This Row],[Customer ID]],customers!A$2:A$1001,customers!I$2:I$1001)</f>
        <v>Yes</v>
      </c>
    </row>
    <row r="17" spans="1:16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9" t="str">
        <f>_xlfn.XLOOKUP(orders!C17,customers!$A$2:$A$1001,customers!$B$2:$B$1001)</f>
        <v>Llywellyn Oscroft</v>
      </c>
      <c r="G17" s="9" t="str">
        <f>IF(_xlfn.XLOOKUP(orders!C17,customers!$A$2:$A$1001,customers!$C$2:$C$1001,,,)=0,"",_xlfn.XLOOKUP(orders!C17,customers!$A$2:$A$1001,customers!$C$2:$C$1001,,,))</f>
        <v>loscroftf@ebay.co.uk</v>
      </c>
      <c r="H17" s="9" t="str">
        <f>_xlfn.XLOOKUP(C17,customers!$A$2:$A$1001,customers!$G$2:$G$1001,"")</f>
        <v>United States</v>
      </c>
      <c r="I17" s="10" t="str">
        <f>INDEX(products!$A$2:$G$49,MATCH(orders!$D17,products!$A$2:$A$49,0),MATCH(orders!I$1,products!$A$1:$G$1,0))</f>
        <v>Rob</v>
      </c>
      <c r="J17" s="10" t="str">
        <f>INDEX(products!$A$2:$G$49,MATCH(orders!$D17,products!$A$2:$A$49,0),MATCH(orders!J$1,products!$A$1:$G$1,0))</f>
        <v>M</v>
      </c>
      <c r="K17" s="11">
        <f>INDEX(products!$A$2:$G$49,MATCH(orders!$D17,products!$A$2:$A$49,0),MATCH(orders!K$1,products!$A$1:$G$1,0))</f>
        <v>2.5</v>
      </c>
      <c r="L17" s="12">
        <f>INDEX(products!$A$2:$G$49,MATCH(orders!$D17,products!$A$2:$A$49,0),MATCH(orders!L$1,products!$A$1:$G$1,0))</f>
        <v>22.884999999999998</v>
      </c>
      <c r="M17" s="12">
        <f t="shared" si="0"/>
        <v>114.42499999999998</v>
      </c>
      <c r="N17" s="10" t="str">
        <f t="shared" si="1"/>
        <v>Robusta</v>
      </c>
      <c r="O17" s="10" t="str">
        <f t="shared" si="2"/>
        <v>Medium</v>
      </c>
      <c r="P17" s="10" t="str">
        <f>_xlfn.XLOOKUP(Tableau1[[#This Row],[Customer ID]],customers!A$2:A$1001,customers!I$2:I$1001)</f>
        <v>No</v>
      </c>
    </row>
    <row r="18" spans="1:16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9" t="str">
        <f>_xlfn.XLOOKUP(orders!C18,customers!$A$2:$A$1001,customers!$B$2:$B$1001)</f>
        <v>Minni Alabaster</v>
      </c>
      <c r="G18" s="9" t="str">
        <f>IF(_xlfn.XLOOKUP(orders!C18,customers!$A$2:$A$1001,customers!$C$2:$C$1001,,,)=0,"",_xlfn.XLOOKUP(orders!C18,customers!$A$2:$A$1001,customers!$C$2:$C$1001,,,))</f>
        <v>malabasterg@hexun.com</v>
      </c>
      <c r="H18" s="9" t="str">
        <f>_xlfn.XLOOKUP(C18,customers!$A$2:$A$1001,customers!$G$2:$G$1001,"")</f>
        <v>United States</v>
      </c>
      <c r="I18" s="10" t="str">
        <f>INDEX(products!$A$2:$G$49,MATCH(orders!$D18,products!$A$2:$A$49,0),MATCH(orders!I$1,products!$A$1:$G$1,0))</f>
        <v>Ara</v>
      </c>
      <c r="J18" s="10" t="str">
        <f>INDEX(products!$A$2:$G$49,MATCH(orders!$D18,products!$A$2:$A$49,0),MATCH(orders!J$1,products!$A$1:$G$1,0))</f>
        <v>M</v>
      </c>
      <c r="K18" s="11">
        <f>INDEX(products!$A$2:$G$49,MATCH(orders!$D18,products!$A$2:$A$49,0),MATCH(orders!K$1,products!$A$1:$G$1,0))</f>
        <v>0.2</v>
      </c>
      <c r="L18" s="12">
        <f>INDEX(products!$A$2:$G$49,MATCH(orders!$D18,products!$A$2:$A$49,0),MATCH(orders!L$1,products!$A$1:$G$1,0))</f>
        <v>3.375</v>
      </c>
      <c r="M18" s="12">
        <f t="shared" si="0"/>
        <v>20.25</v>
      </c>
      <c r="N18" s="10" t="str">
        <f t="shared" si="1"/>
        <v>Arabica</v>
      </c>
      <c r="O18" s="10" t="str">
        <f t="shared" si="2"/>
        <v>Medium</v>
      </c>
      <c r="P18" s="10" t="str">
        <f>_xlfn.XLOOKUP(Tableau1[[#This Row],[Customer ID]],customers!A$2:A$1001,customers!I$2:I$1001)</f>
        <v>No</v>
      </c>
    </row>
    <row r="19" spans="1:16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9" t="str">
        <f>_xlfn.XLOOKUP(orders!C19,customers!$A$2:$A$1001,customers!$B$2:$B$1001)</f>
        <v>Rhianon Broxup</v>
      </c>
      <c r="G19" s="9" t="str">
        <f>IF(_xlfn.XLOOKUP(orders!C19,customers!$A$2:$A$1001,customers!$C$2:$C$1001,,,)=0,"",_xlfn.XLOOKUP(orders!C19,customers!$A$2:$A$1001,customers!$C$2:$C$1001,,,))</f>
        <v>rbroxuph@jimdo.com</v>
      </c>
      <c r="H19" s="9" t="str">
        <f>_xlfn.XLOOKUP(C19,customers!$A$2:$A$1001,customers!$G$2:$G$1001,"")</f>
        <v>United States</v>
      </c>
      <c r="I19" s="10" t="str">
        <f>INDEX(products!$A$2:$G$49,MATCH(orders!$D19,products!$A$2:$A$49,0),MATCH(orders!I$1,products!$A$1:$G$1,0))</f>
        <v>Ara</v>
      </c>
      <c r="J19" s="10" t="str">
        <f>INDEX(products!$A$2:$G$49,MATCH(orders!$D19,products!$A$2:$A$49,0),MATCH(orders!J$1,products!$A$1:$G$1,0))</f>
        <v>L</v>
      </c>
      <c r="K19" s="11">
        <f>INDEX(products!$A$2:$G$49,MATCH(orders!$D19,products!$A$2:$A$49,0),MATCH(orders!K$1,products!$A$1:$G$1,0))</f>
        <v>1</v>
      </c>
      <c r="L19" s="12">
        <f>INDEX(products!$A$2:$G$49,MATCH(orders!$D19,products!$A$2:$A$49,0),MATCH(orders!L$1,products!$A$1:$G$1,0))</f>
        <v>12.95</v>
      </c>
      <c r="M19" s="12">
        <f t="shared" si="0"/>
        <v>77.699999999999989</v>
      </c>
      <c r="N19" s="10" t="str">
        <f t="shared" si="1"/>
        <v>Arabica</v>
      </c>
      <c r="O19" s="10" t="str">
        <f t="shared" si="2"/>
        <v>Light</v>
      </c>
      <c r="P19" s="10" t="str">
        <f>_xlfn.XLOOKUP(Tableau1[[#This Row],[Customer ID]],customers!A$2:A$1001,customers!I$2:I$1001)</f>
        <v>No</v>
      </c>
    </row>
    <row r="20" spans="1:16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9" t="str">
        <f>_xlfn.XLOOKUP(orders!C20,customers!$A$2:$A$1001,customers!$B$2:$B$1001)</f>
        <v>Pall Redford</v>
      </c>
      <c r="G20" s="9" t="str">
        <f>IF(_xlfn.XLOOKUP(orders!C20,customers!$A$2:$A$1001,customers!$C$2:$C$1001,,,)=0,"",_xlfn.XLOOKUP(orders!C20,customers!$A$2:$A$1001,customers!$C$2:$C$1001,,,))</f>
        <v>predfordi@ow.ly</v>
      </c>
      <c r="H20" s="9" t="str">
        <f>_xlfn.XLOOKUP(C20,customers!$A$2:$A$1001,customers!$G$2:$G$1001,"")</f>
        <v>Ireland</v>
      </c>
      <c r="I20" s="10" t="str">
        <f>INDEX(products!$A$2:$G$49,MATCH(orders!$D20,products!$A$2:$A$49,0),MATCH(orders!I$1,products!$A$1:$G$1,0))</f>
        <v>Rob</v>
      </c>
      <c r="J20" s="10" t="str">
        <f>INDEX(products!$A$2:$G$49,MATCH(orders!$D20,products!$A$2:$A$49,0),MATCH(orders!J$1,products!$A$1:$G$1,0))</f>
        <v>D</v>
      </c>
      <c r="K20" s="11">
        <f>INDEX(products!$A$2:$G$49,MATCH(orders!$D20,products!$A$2:$A$49,0),MATCH(orders!K$1,products!$A$1:$G$1,0))</f>
        <v>2.5</v>
      </c>
      <c r="L20" s="12">
        <f>INDEX(products!$A$2:$G$49,MATCH(orders!$D20,products!$A$2:$A$49,0),MATCH(orders!L$1,products!$A$1:$G$1,0))</f>
        <v>20.584999999999997</v>
      </c>
      <c r="M20" s="12">
        <f t="shared" si="0"/>
        <v>82.339999999999989</v>
      </c>
      <c r="N20" s="10" t="str">
        <f t="shared" si="1"/>
        <v>Robusta</v>
      </c>
      <c r="O20" s="10" t="str">
        <f t="shared" si="2"/>
        <v>Dark</v>
      </c>
      <c r="P20" s="10" t="str">
        <f>_xlfn.XLOOKUP(Tableau1[[#This Row],[Customer ID]],customers!A$2:A$1001,customers!I$2:I$1001)</f>
        <v>Yes</v>
      </c>
    </row>
    <row r="21" spans="1:16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9" t="str">
        <f>_xlfn.XLOOKUP(orders!C21,customers!$A$2:$A$1001,customers!$B$2:$B$1001)</f>
        <v>Aurea Corradino</v>
      </c>
      <c r="G21" s="9" t="str">
        <f>IF(_xlfn.XLOOKUP(orders!C21,customers!$A$2:$A$1001,customers!$C$2:$C$1001,,,)=0,"",_xlfn.XLOOKUP(orders!C21,customers!$A$2:$A$1001,customers!$C$2:$C$1001,,,))</f>
        <v>acorradinoj@harvard.edu</v>
      </c>
      <c r="H21" s="9" t="str">
        <f>_xlfn.XLOOKUP(C21,customers!$A$2:$A$1001,customers!$G$2:$G$1001,"")</f>
        <v>United States</v>
      </c>
      <c r="I21" s="10" t="str">
        <f>INDEX(products!$A$2:$G$49,MATCH(orders!$D21,products!$A$2:$A$49,0),MATCH(orders!I$1,products!$A$1:$G$1,0))</f>
        <v>Ara</v>
      </c>
      <c r="J21" s="10" t="str">
        <f>INDEX(products!$A$2:$G$49,MATCH(orders!$D21,products!$A$2:$A$49,0),MATCH(orders!J$1,products!$A$1:$G$1,0))</f>
        <v>M</v>
      </c>
      <c r="K21" s="11">
        <f>INDEX(products!$A$2:$G$49,MATCH(orders!$D21,products!$A$2:$A$49,0),MATCH(orders!K$1,products!$A$1:$G$1,0))</f>
        <v>0.2</v>
      </c>
      <c r="L21" s="12">
        <f>INDEX(products!$A$2:$G$49,MATCH(orders!$D21,products!$A$2:$A$49,0),MATCH(orders!L$1,products!$A$1:$G$1,0))</f>
        <v>3.375</v>
      </c>
      <c r="M21" s="12">
        <f t="shared" si="0"/>
        <v>16.875</v>
      </c>
      <c r="N21" s="10" t="str">
        <f t="shared" si="1"/>
        <v>Arabica</v>
      </c>
      <c r="O21" s="10" t="str">
        <f t="shared" si="2"/>
        <v>Medium</v>
      </c>
      <c r="P21" s="10" t="str">
        <f>_xlfn.XLOOKUP(Tableau1[[#This Row],[Customer ID]],customers!A$2:A$1001,customers!I$2:I$1001)</f>
        <v>Yes</v>
      </c>
    </row>
    <row r="22" spans="1:16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9" t="str">
        <f>_xlfn.XLOOKUP(orders!C22,customers!$A$2:$A$1001,customers!$B$2:$B$1001)</f>
        <v>Aurea Corradino</v>
      </c>
      <c r="G22" s="9" t="str">
        <f>IF(_xlfn.XLOOKUP(orders!C22,customers!$A$2:$A$1001,customers!$C$2:$C$1001,,,)=0,"",_xlfn.XLOOKUP(orders!C22,customers!$A$2:$A$1001,customers!$C$2:$C$1001,,,))</f>
        <v>acorradinoj@harvard.edu</v>
      </c>
      <c r="H22" s="9" t="str">
        <f>_xlfn.XLOOKUP(C22,customers!$A$2:$A$1001,customers!$G$2:$G$1001,"")</f>
        <v>United States</v>
      </c>
      <c r="I22" s="10" t="str">
        <f>INDEX(products!$A$2:$G$49,MATCH(orders!$D22,products!$A$2:$A$49,0),MATCH(orders!I$1,products!$A$1:$G$1,0))</f>
        <v>Exc</v>
      </c>
      <c r="J22" s="10" t="str">
        <f>INDEX(products!$A$2:$G$49,MATCH(orders!$D22,products!$A$2:$A$49,0),MATCH(orders!J$1,products!$A$1:$G$1,0))</f>
        <v>D</v>
      </c>
      <c r="K22" s="11">
        <f>INDEX(products!$A$2:$G$49,MATCH(orders!$D22,products!$A$2:$A$49,0),MATCH(orders!K$1,products!$A$1:$G$1,0))</f>
        <v>0.2</v>
      </c>
      <c r="L22" s="12">
        <f>INDEX(products!$A$2:$G$49,MATCH(orders!$D22,products!$A$2:$A$49,0),MATCH(orders!L$1,products!$A$1:$G$1,0))</f>
        <v>3.645</v>
      </c>
      <c r="M22" s="12">
        <f t="shared" si="0"/>
        <v>14.58</v>
      </c>
      <c r="N22" s="10" t="str">
        <f t="shared" si="1"/>
        <v>Excelsa</v>
      </c>
      <c r="O22" s="10" t="str">
        <f t="shared" si="2"/>
        <v>Dark</v>
      </c>
      <c r="P22" s="10" t="str">
        <f>_xlfn.XLOOKUP(Tableau1[[#This Row],[Customer ID]],customers!A$2:A$1001,customers!I$2:I$1001)</f>
        <v>Yes</v>
      </c>
    </row>
    <row r="23" spans="1:16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9" t="str">
        <f>_xlfn.XLOOKUP(orders!C23,customers!$A$2:$A$1001,customers!$B$2:$B$1001)</f>
        <v>Avrit Davidowsky</v>
      </c>
      <c r="G23" s="9" t="str">
        <f>IF(_xlfn.XLOOKUP(orders!C23,customers!$A$2:$A$1001,customers!$C$2:$C$1001,,,)=0,"",_xlfn.XLOOKUP(orders!C23,customers!$A$2:$A$1001,customers!$C$2:$C$1001,,,))</f>
        <v>adavidowskyl@netvibes.com</v>
      </c>
      <c r="H23" s="9" t="str">
        <f>_xlfn.XLOOKUP(C23,customers!$A$2:$A$1001,customers!$G$2:$G$1001,"")</f>
        <v>United States</v>
      </c>
      <c r="I23" s="10" t="str">
        <f>INDEX(products!$A$2:$G$49,MATCH(orders!$D23,products!$A$2:$A$49,0),MATCH(orders!I$1,products!$A$1:$G$1,0))</f>
        <v>Ara</v>
      </c>
      <c r="J23" s="10" t="str">
        <f>INDEX(products!$A$2:$G$49,MATCH(orders!$D23,products!$A$2:$A$49,0),MATCH(orders!J$1,products!$A$1:$G$1,0))</f>
        <v>D</v>
      </c>
      <c r="K23" s="11">
        <f>INDEX(products!$A$2:$G$49,MATCH(orders!$D23,products!$A$2:$A$49,0),MATCH(orders!K$1,products!$A$1:$G$1,0))</f>
        <v>0.2</v>
      </c>
      <c r="L23" s="12">
        <f>INDEX(products!$A$2:$G$49,MATCH(orders!$D23,products!$A$2:$A$49,0),MATCH(orders!L$1,products!$A$1:$G$1,0))</f>
        <v>2.9849999999999999</v>
      </c>
      <c r="M23" s="12">
        <f t="shared" si="0"/>
        <v>17.91</v>
      </c>
      <c r="N23" s="10" t="str">
        <f t="shared" si="1"/>
        <v>Arabica</v>
      </c>
      <c r="O23" s="10" t="str">
        <f t="shared" si="2"/>
        <v>Dark</v>
      </c>
      <c r="P23" s="10" t="str">
        <f>_xlfn.XLOOKUP(Tableau1[[#This Row],[Customer ID]],customers!A$2:A$1001,customers!I$2:I$1001)</f>
        <v>No</v>
      </c>
    </row>
    <row r="24" spans="1:16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9" t="str">
        <f>_xlfn.XLOOKUP(orders!C24,customers!$A$2:$A$1001,customers!$B$2:$B$1001)</f>
        <v>Annabel Antuk</v>
      </c>
      <c r="G24" s="9" t="str">
        <f>IF(_xlfn.XLOOKUP(orders!C24,customers!$A$2:$A$1001,customers!$C$2:$C$1001,,,)=0,"",_xlfn.XLOOKUP(orders!C24,customers!$A$2:$A$1001,customers!$C$2:$C$1001,,,))</f>
        <v>aantukm@kickstarter.com</v>
      </c>
      <c r="H24" s="9" t="str">
        <f>_xlfn.XLOOKUP(C24,customers!$A$2:$A$1001,customers!$G$2:$G$1001,"")</f>
        <v>United States</v>
      </c>
      <c r="I24" s="10" t="str">
        <f>INDEX(products!$A$2:$G$49,MATCH(orders!$D24,products!$A$2:$A$49,0),MATCH(orders!I$1,products!$A$1:$G$1,0))</f>
        <v>Rob</v>
      </c>
      <c r="J24" s="10" t="str">
        <f>INDEX(products!$A$2:$G$49,MATCH(orders!$D24,products!$A$2:$A$49,0),MATCH(orders!J$1,products!$A$1:$G$1,0))</f>
        <v>M</v>
      </c>
      <c r="K24" s="11">
        <f>INDEX(products!$A$2:$G$49,MATCH(orders!$D24,products!$A$2:$A$49,0),MATCH(orders!K$1,products!$A$1:$G$1,0))</f>
        <v>2.5</v>
      </c>
      <c r="L24" s="12">
        <f>INDEX(products!$A$2:$G$49,MATCH(orders!$D24,products!$A$2:$A$49,0),MATCH(orders!L$1,products!$A$1:$G$1,0))</f>
        <v>22.884999999999998</v>
      </c>
      <c r="M24" s="12">
        <f t="shared" si="0"/>
        <v>91.539999999999992</v>
      </c>
      <c r="N24" s="10" t="str">
        <f t="shared" si="1"/>
        <v>Robusta</v>
      </c>
      <c r="O24" s="10" t="str">
        <f t="shared" si="2"/>
        <v>Medium</v>
      </c>
      <c r="P24" s="10" t="str">
        <f>_xlfn.XLOOKUP(Tableau1[[#This Row],[Customer ID]],customers!A$2:A$1001,customers!I$2:I$1001)</f>
        <v>Yes</v>
      </c>
    </row>
    <row r="25" spans="1:16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9" t="str">
        <f>_xlfn.XLOOKUP(orders!C25,customers!$A$2:$A$1001,customers!$B$2:$B$1001)</f>
        <v>Iorgo Kleinert</v>
      </c>
      <c r="G25" s="9" t="str">
        <f>IF(_xlfn.XLOOKUP(orders!C25,customers!$A$2:$A$1001,customers!$C$2:$C$1001,,,)=0,"",_xlfn.XLOOKUP(orders!C25,customers!$A$2:$A$1001,customers!$C$2:$C$1001,,,))</f>
        <v>ikleinertn@timesonline.co.uk</v>
      </c>
      <c r="H25" s="9" t="str">
        <f>_xlfn.XLOOKUP(C25,customers!$A$2:$A$1001,customers!$G$2:$G$1001,"")</f>
        <v>United States</v>
      </c>
      <c r="I25" s="10" t="str">
        <f>INDEX(products!$A$2:$G$49,MATCH(orders!$D25,products!$A$2:$A$49,0),MATCH(orders!I$1,products!$A$1:$G$1,0))</f>
        <v>Ara</v>
      </c>
      <c r="J25" s="10" t="str">
        <f>INDEX(products!$A$2:$G$49,MATCH(orders!$D25,products!$A$2:$A$49,0),MATCH(orders!J$1,products!$A$1:$G$1,0))</f>
        <v>D</v>
      </c>
      <c r="K25" s="11">
        <f>INDEX(products!$A$2:$G$49,MATCH(orders!$D25,products!$A$2:$A$49,0),MATCH(orders!K$1,products!$A$1:$G$1,0))</f>
        <v>0.2</v>
      </c>
      <c r="L25" s="12">
        <f>INDEX(products!$A$2:$G$49,MATCH(orders!$D25,products!$A$2:$A$49,0),MATCH(orders!L$1,products!$A$1:$G$1,0))</f>
        <v>2.9849999999999999</v>
      </c>
      <c r="M25" s="12">
        <f t="shared" si="0"/>
        <v>11.94</v>
      </c>
      <c r="N25" s="10" t="str">
        <f t="shared" si="1"/>
        <v>Arabica</v>
      </c>
      <c r="O25" s="10" t="str">
        <f t="shared" si="2"/>
        <v>Dark</v>
      </c>
      <c r="P25" s="10" t="str">
        <f>_xlfn.XLOOKUP(Tableau1[[#This Row],[Customer ID]],customers!A$2:A$1001,customers!I$2:I$1001)</f>
        <v>Yes</v>
      </c>
    </row>
    <row r="26" spans="1:16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9" t="str">
        <f>_xlfn.XLOOKUP(orders!C26,customers!$A$2:$A$1001,customers!$B$2:$B$1001)</f>
        <v>Chrisy Blofeld</v>
      </c>
      <c r="G26" s="9" t="str">
        <f>IF(_xlfn.XLOOKUP(orders!C26,customers!$A$2:$A$1001,customers!$C$2:$C$1001,,,)=0,"",_xlfn.XLOOKUP(orders!C26,customers!$A$2:$A$1001,customers!$C$2:$C$1001,,,))</f>
        <v>cblofeldo@amazon.co.uk</v>
      </c>
      <c r="H26" s="9" t="str">
        <f>_xlfn.XLOOKUP(C26,customers!$A$2:$A$1001,customers!$G$2:$G$1001,"")</f>
        <v>United States</v>
      </c>
      <c r="I26" s="10" t="str">
        <f>INDEX(products!$A$2:$G$49,MATCH(orders!$D26,products!$A$2:$A$49,0),MATCH(orders!I$1,products!$A$1:$G$1,0))</f>
        <v>Ara</v>
      </c>
      <c r="J26" s="10" t="str">
        <f>INDEX(products!$A$2:$G$49,MATCH(orders!$D26,products!$A$2:$A$49,0),MATCH(orders!J$1,products!$A$1:$G$1,0))</f>
        <v>M</v>
      </c>
      <c r="K26" s="11">
        <f>INDEX(products!$A$2:$G$49,MATCH(orders!$D26,products!$A$2:$A$49,0),MATCH(orders!K$1,products!$A$1:$G$1,0))</f>
        <v>1</v>
      </c>
      <c r="L26" s="12">
        <f>INDEX(products!$A$2:$G$49,MATCH(orders!$D26,products!$A$2:$A$49,0),MATCH(orders!L$1,products!$A$1:$G$1,0))</f>
        <v>11.25</v>
      </c>
      <c r="M26" s="12">
        <f t="shared" si="0"/>
        <v>11.25</v>
      </c>
      <c r="N26" s="10" t="str">
        <f t="shared" si="1"/>
        <v>Arabica</v>
      </c>
      <c r="O26" s="10" t="str">
        <f t="shared" si="2"/>
        <v>Medium</v>
      </c>
      <c r="P26" s="10" t="str">
        <f>_xlfn.XLOOKUP(Tableau1[[#This Row],[Customer ID]],customers!A$2:A$1001,customers!I$2:I$1001)</f>
        <v>No</v>
      </c>
    </row>
    <row r="27" spans="1:16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9" t="str">
        <f>_xlfn.XLOOKUP(orders!C27,customers!$A$2:$A$1001,customers!$B$2:$B$1001)</f>
        <v>Culley Farris</v>
      </c>
      <c r="G27" s="9" t="str">
        <f>IF(_xlfn.XLOOKUP(orders!C27,customers!$A$2:$A$1001,customers!$C$2:$C$1001,,,)=0,"",_xlfn.XLOOKUP(orders!C27,customers!$A$2:$A$1001,customers!$C$2:$C$1001,,,))</f>
        <v/>
      </c>
      <c r="H27" s="9" t="str">
        <f>_xlfn.XLOOKUP(C27,customers!$A$2:$A$1001,customers!$G$2:$G$1001,"")</f>
        <v>United States</v>
      </c>
      <c r="I27" s="10" t="str">
        <f>INDEX(products!$A$2:$G$49,MATCH(orders!$D27,products!$A$2:$A$49,0),MATCH(orders!I$1,products!$A$1:$G$1,0))</f>
        <v>Exc</v>
      </c>
      <c r="J27" s="10" t="str">
        <f>INDEX(products!$A$2:$G$49,MATCH(orders!$D27,products!$A$2:$A$49,0),MATCH(orders!J$1,products!$A$1:$G$1,0))</f>
        <v>M</v>
      </c>
      <c r="K27" s="11">
        <f>INDEX(products!$A$2:$G$49,MATCH(orders!$D27,products!$A$2:$A$49,0),MATCH(orders!K$1,products!$A$1:$G$1,0))</f>
        <v>0.2</v>
      </c>
      <c r="L27" s="12">
        <f>INDEX(products!$A$2:$G$49,MATCH(orders!$D27,products!$A$2:$A$49,0),MATCH(orders!L$1,products!$A$1:$G$1,0))</f>
        <v>4.125</v>
      </c>
      <c r="M27" s="12">
        <f t="shared" si="0"/>
        <v>12.375</v>
      </c>
      <c r="N27" s="10" t="str">
        <f t="shared" si="1"/>
        <v>Excelsa</v>
      </c>
      <c r="O27" s="10" t="str">
        <f t="shared" si="2"/>
        <v>Medium</v>
      </c>
      <c r="P27" s="10" t="str">
        <f>_xlfn.XLOOKUP(Tableau1[[#This Row],[Customer ID]],customers!A$2:A$1001,customers!I$2:I$1001)</f>
        <v>Yes</v>
      </c>
    </row>
    <row r="28" spans="1:16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9" t="str">
        <f>_xlfn.XLOOKUP(orders!C28,customers!$A$2:$A$1001,customers!$B$2:$B$1001)</f>
        <v>Selene Shales</v>
      </c>
      <c r="G28" s="9" t="str">
        <f>IF(_xlfn.XLOOKUP(orders!C28,customers!$A$2:$A$1001,customers!$C$2:$C$1001,,,)=0,"",_xlfn.XLOOKUP(orders!C28,customers!$A$2:$A$1001,customers!$C$2:$C$1001,,,))</f>
        <v>sshalesq@umich.edu</v>
      </c>
      <c r="H28" s="9" t="str">
        <f>_xlfn.XLOOKUP(C28,customers!$A$2:$A$1001,customers!$G$2:$G$1001,"")</f>
        <v>United States</v>
      </c>
      <c r="I28" s="10" t="str">
        <f>INDEX(products!$A$2:$G$49,MATCH(orders!$D28,products!$A$2:$A$49,0),MATCH(orders!I$1,products!$A$1:$G$1,0))</f>
        <v>Ara</v>
      </c>
      <c r="J28" s="10" t="str">
        <f>INDEX(products!$A$2:$G$49,MATCH(orders!$D28,products!$A$2:$A$49,0),MATCH(orders!J$1,products!$A$1:$G$1,0))</f>
        <v>M</v>
      </c>
      <c r="K28" s="11">
        <f>INDEX(products!$A$2:$G$49,MATCH(orders!$D28,products!$A$2:$A$49,0),MATCH(orders!K$1,products!$A$1:$G$1,0))</f>
        <v>0.5</v>
      </c>
      <c r="L28" s="12">
        <f>INDEX(products!$A$2:$G$49,MATCH(orders!$D28,products!$A$2:$A$49,0),MATCH(orders!L$1,products!$A$1:$G$1,0))</f>
        <v>6.75</v>
      </c>
      <c r="M28" s="12">
        <f t="shared" si="0"/>
        <v>27</v>
      </c>
      <c r="N28" s="10" t="str">
        <f t="shared" si="1"/>
        <v>Arabica</v>
      </c>
      <c r="O28" s="10" t="str">
        <f t="shared" si="2"/>
        <v>Medium</v>
      </c>
      <c r="P28" s="10" t="str">
        <f>_xlfn.XLOOKUP(Tableau1[[#This Row],[Customer ID]],customers!A$2:A$1001,customers!I$2:I$1001)</f>
        <v>Yes</v>
      </c>
    </row>
    <row r="29" spans="1:16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9" t="str">
        <f>_xlfn.XLOOKUP(orders!C29,customers!$A$2:$A$1001,customers!$B$2:$B$1001)</f>
        <v>Vivie Danneil</v>
      </c>
      <c r="G29" s="9" t="str">
        <f>IF(_xlfn.XLOOKUP(orders!C29,customers!$A$2:$A$1001,customers!$C$2:$C$1001,,,)=0,"",_xlfn.XLOOKUP(orders!C29,customers!$A$2:$A$1001,customers!$C$2:$C$1001,,,))</f>
        <v>vdanneilr@mtv.com</v>
      </c>
      <c r="H29" s="9" t="str">
        <f>_xlfn.XLOOKUP(C29,customers!$A$2:$A$1001,customers!$G$2:$G$1001,"")</f>
        <v>Ireland</v>
      </c>
      <c r="I29" s="10" t="str">
        <f>INDEX(products!$A$2:$G$49,MATCH(orders!$D29,products!$A$2:$A$49,0),MATCH(orders!I$1,products!$A$1:$G$1,0))</f>
        <v>Ara</v>
      </c>
      <c r="J29" s="10" t="str">
        <f>INDEX(products!$A$2:$G$49,MATCH(orders!$D29,products!$A$2:$A$49,0),MATCH(orders!J$1,products!$A$1:$G$1,0))</f>
        <v>M</v>
      </c>
      <c r="K29" s="11">
        <f>INDEX(products!$A$2:$G$49,MATCH(orders!$D29,products!$A$2:$A$49,0),MATCH(orders!K$1,products!$A$1:$G$1,0))</f>
        <v>0.2</v>
      </c>
      <c r="L29" s="12">
        <f>INDEX(products!$A$2:$G$49,MATCH(orders!$D29,products!$A$2:$A$49,0),MATCH(orders!L$1,products!$A$1:$G$1,0))</f>
        <v>3.375</v>
      </c>
      <c r="M29" s="12">
        <f t="shared" si="0"/>
        <v>16.875</v>
      </c>
      <c r="N29" s="10" t="str">
        <f t="shared" si="1"/>
        <v>Arabica</v>
      </c>
      <c r="O29" s="10" t="str">
        <f t="shared" si="2"/>
        <v>Medium</v>
      </c>
      <c r="P29" s="10" t="str">
        <f>_xlfn.XLOOKUP(Tableau1[[#This Row],[Customer ID]],customers!A$2:A$1001,customers!I$2:I$1001)</f>
        <v>No</v>
      </c>
    </row>
    <row r="30" spans="1:16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9" t="str">
        <f>_xlfn.XLOOKUP(orders!C30,customers!$A$2:$A$1001,customers!$B$2:$B$1001)</f>
        <v>Theresita Newbury</v>
      </c>
      <c r="G30" s="9" t="str">
        <f>IF(_xlfn.XLOOKUP(orders!C30,customers!$A$2:$A$1001,customers!$C$2:$C$1001,,,)=0,"",_xlfn.XLOOKUP(orders!C30,customers!$A$2:$A$1001,customers!$C$2:$C$1001,,,))</f>
        <v>tnewburys@usda.gov</v>
      </c>
      <c r="H30" s="9" t="str">
        <f>_xlfn.XLOOKUP(C30,customers!$A$2:$A$1001,customers!$G$2:$G$1001,"")</f>
        <v>Ireland</v>
      </c>
      <c r="I30" s="10" t="str">
        <f>INDEX(products!$A$2:$G$49,MATCH(orders!$D30,products!$A$2:$A$49,0),MATCH(orders!I$1,products!$A$1:$G$1,0))</f>
        <v>Ara</v>
      </c>
      <c r="J30" s="10" t="str">
        <f>INDEX(products!$A$2:$G$49,MATCH(orders!$D30,products!$A$2:$A$49,0),MATCH(orders!J$1,products!$A$1:$G$1,0))</f>
        <v>D</v>
      </c>
      <c r="K30" s="11">
        <f>INDEX(products!$A$2:$G$49,MATCH(orders!$D30,products!$A$2:$A$49,0),MATCH(orders!K$1,products!$A$1:$G$1,0))</f>
        <v>0.5</v>
      </c>
      <c r="L30" s="12">
        <f>INDEX(products!$A$2:$G$49,MATCH(orders!$D30,products!$A$2:$A$49,0),MATCH(orders!L$1,products!$A$1:$G$1,0))</f>
        <v>5.97</v>
      </c>
      <c r="M30" s="12">
        <f t="shared" si="0"/>
        <v>17.91</v>
      </c>
      <c r="N30" s="10" t="str">
        <f t="shared" si="1"/>
        <v>Arabica</v>
      </c>
      <c r="O30" s="10" t="str">
        <f t="shared" si="2"/>
        <v>Dark</v>
      </c>
      <c r="P30" s="10" t="str">
        <f>_xlfn.XLOOKUP(Tableau1[[#This Row],[Customer ID]],customers!A$2:A$1001,customers!I$2:I$1001)</f>
        <v>No</v>
      </c>
    </row>
    <row r="31" spans="1:16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9" t="str">
        <f>_xlfn.XLOOKUP(orders!C31,customers!$A$2:$A$1001,customers!$B$2:$B$1001)</f>
        <v>Mozelle Calcutt</v>
      </c>
      <c r="G31" s="9" t="str">
        <f>IF(_xlfn.XLOOKUP(orders!C31,customers!$A$2:$A$1001,customers!$C$2:$C$1001,,,)=0,"",_xlfn.XLOOKUP(orders!C31,customers!$A$2:$A$1001,customers!$C$2:$C$1001,,,))</f>
        <v>mcalcuttt@baidu.com</v>
      </c>
      <c r="H31" s="9" t="str">
        <f>_xlfn.XLOOKUP(C31,customers!$A$2:$A$1001,customers!$G$2:$G$1001,"")</f>
        <v>Ireland</v>
      </c>
      <c r="I31" s="10" t="str">
        <f>INDEX(products!$A$2:$G$49,MATCH(orders!$D31,products!$A$2:$A$49,0),MATCH(orders!I$1,products!$A$1:$G$1,0))</f>
        <v>Ara</v>
      </c>
      <c r="J31" s="10" t="str">
        <f>INDEX(products!$A$2:$G$49,MATCH(orders!$D31,products!$A$2:$A$49,0),MATCH(orders!J$1,products!$A$1:$G$1,0))</f>
        <v>D</v>
      </c>
      <c r="K31" s="11">
        <f>INDEX(products!$A$2:$G$49,MATCH(orders!$D31,products!$A$2:$A$49,0),MATCH(orders!K$1,products!$A$1:$G$1,0))</f>
        <v>1</v>
      </c>
      <c r="L31" s="12">
        <f>INDEX(products!$A$2:$G$49,MATCH(orders!$D31,products!$A$2:$A$49,0),MATCH(orders!L$1,products!$A$1:$G$1,0))</f>
        <v>9.9499999999999993</v>
      </c>
      <c r="M31" s="12">
        <f t="shared" si="0"/>
        <v>39.799999999999997</v>
      </c>
      <c r="N31" s="10" t="str">
        <f t="shared" si="1"/>
        <v>Arabica</v>
      </c>
      <c r="O31" s="10" t="str">
        <f t="shared" si="2"/>
        <v>Dark</v>
      </c>
      <c r="P31" s="10" t="str">
        <f>_xlfn.XLOOKUP(Tableau1[[#This Row],[Customer ID]],customers!A$2:A$1001,customers!I$2:I$1001)</f>
        <v>Yes</v>
      </c>
    </row>
    <row r="32" spans="1:16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9" t="str">
        <f>_xlfn.XLOOKUP(orders!C32,customers!$A$2:$A$1001,customers!$B$2:$B$1001)</f>
        <v>Adrian Swaine</v>
      </c>
      <c r="G32" s="9" t="str">
        <f>IF(_xlfn.XLOOKUP(orders!C32,customers!$A$2:$A$1001,customers!$C$2:$C$1001,,,)=0,"",_xlfn.XLOOKUP(orders!C32,customers!$A$2:$A$1001,customers!$C$2:$C$1001,,,))</f>
        <v/>
      </c>
      <c r="H32" s="9" t="str">
        <f>_xlfn.XLOOKUP(C32,customers!$A$2:$A$1001,customers!$G$2:$G$1001,"")</f>
        <v>United States</v>
      </c>
      <c r="I32" s="10" t="str">
        <f>INDEX(products!$A$2:$G$49,MATCH(orders!$D32,products!$A$2:$A$49,0),MATCH(orders!I$1,products!$A$1:$G$1,0))</f>
        <v>Lib</v>
      </c>
      <c r="J32" s="10" t="str">
        <f>INDEX(products!$A$2:$G$49,MATCH(orders!$D32,products!$A$2:$A$49,0),MATCH(orders!J$1,products!$A$1:$G$1,0))</f>
        <v>M</v>
      </c>
      <c r="K32" s="11">
        <f>INDEX(products!$A$2:$G$49,MATCH(orders!$D32,products!$A$2:$A$49,0),MATCH(orders!K$1,products!$A$1:$G$1,0))</f>
        <v>0.2</v>
      </c>
      <c r="L32" s="12">
        <f>INDEX(products!$A$2:$G$49,MATCH(orders!$D32,products!$A$2:$A$49,0),MATCH(orders!L$1,products!$A$1:$G$1,0))</f>
        <v>4.3650000000000002</v>
      </c>
      <c r="M32" s="12">
        <f t="shared" si="0"/>
        <v>21.825000000000003</v>
      </c>
      <c r="N32" s="10" t="str">
        <f t="shared" si="1"/>
        <v>Liberica</v>
      </c>
      <c r="O32" s="10" t="str">
        <f t="shared" si="2"/>
        <v>Medium</v>
      </c>
      <c r="P32" s="10" t="str">
        <f>_xlfn.XLOOKUP(Tableau1[[#This Row],[Customer ID]],customers!A$2:A$1001,customers!I$2:I$1001)</f>
        <v>No</v>
      </c>
    </row>
    <row r="33" spans="1:16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9" t="str">
        <f>_xlfn.XLOOKUP(orders!C33,customers!$A$2:$A$1001,customers!$B$2:$B$1001)</f>
        <v>Adrian Swaine</v>
      </c>
      <c r="G33" s="9" t="str">
        <f>IF(_xlfn.XLOOKUP(orders!C33,customers!$A$2:$A$1001,customers!$C$2:$C$1001,,,)=0,"",_xlfn.XLOOKUP(orders!C33,customers!$A$2:$A$1001,customers!$C$2:$C$1001,,,))</f>
        <v/>
      </c>
      <c r="H33" s="9" t="str">
        <f>_xlfn.XLOOKUP(C33,customers!$A$2:$A$1001,customers!$G$2:$G$1001,"")</f>
        <v>United States</v>
      </c>
      <c r="I33" s="10" t="str">
        <f>INDEX(products!$A$2:$G$49,MATCH(orders!$D33,products!$A$2:$A$49,0),MATCH(orders!I$1,products!$A$1:$G$1,0))</f>
        <v>Ara</v>
      </c>
      <c r="J33" s="10" t="str">
        <f>INDEX(products!$A$2:$G$49,MATCH(orders!$D33,products!$A$2:$A$49,0),MATCH(orders!J$1,products!$A$1:$G$1,0))</f>
        <v>D</v>
      </c>
      <c r="K33" s="11">
        <f>INDEX(products!$A$2:$G$49,MATCH(orders!$D33,products!$A$2:$A$49,0),MATCH(orders!K$1,products!$A$1:$G$1,0))</f>
        <v>0.5</v>
      </c>
      <c r="L33" s="12">
        <f>INDEX(products!$A$2:$G$49,MATCH(orders!$D33,products!$A$2:$A$49,0),MATCH(orders!L$1,products!$A$1:$G$1,0))</f>
        <v>5.97</v>
      </c>
      <c r="M33" s="12">
        <f t="shared" si="0"/>
        <v>35.82</v>
      </c>
      <c r="N33" s="10" t="str">
        <f t="shared" si="1"/>
        <v>Arabica</v>
      </c>
      <c r="O33" s="10" t="str">
        <f t="shared" si="2"/>
        <v>Dark</v>
      </c>
      <c r="P33" s="10" t="str">
        <f>_xlfn.XLOOKUP(Tableau1[[#This Row],[Customer ID]],customers!A$2:A$1001,customers!I$2:I$1001)</f>
        <v>No</v>
      </c>
    </row>
    <row r="34" spans="1:16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9" t="str">
        <f>_xlfn.XLOOKUP(orders!C34,customers!$A$2:$A$1001,customers!$B$2:$B$1001)</f>
        <v>Adrian Swaine</v>
      </c>
      <c r="G34" s="9" t="str">
        <f>IF(_xlfn.XLOOKUP(orders!C34,customers!$A$2:$A$1001,customers!$C$2:$C$1001,,,)=0,"",_xlfn.XLOOKUP(orders!C34,customers!$A$2:$A$1001,customers!$C$2:$C$1001,,,))</f>
        <v/>
      </c>
      <c r="H34" s="9" t="str">
        <f>_xlfn.XLOOKUP(C34,customers!$A$2:$A$1001,customers!$G$2:$G$1001,"")</f>
        <v>United States</v>
      </c>
      <c r="I34" s="10" t="str">
        <f>INDEX(products!$A$2:$G$49,MATCH(orders!$D34,products!$A$2:$A$49,0),MATCH(orders!I$1,products!$A$1:$G$1,0))</f>
        <v>Lib</v>
      </c>
      <c r="J34" s="10" t="str">
        <f>INDEX(products!$A$2:$G$49,MATCH(orders!$D34,products!$A$2:$A$49,0),MATCH(orders!J$1,products!$A$1:$G$1,0))</f>
        <v>M</v>
      </c>
      <c r="K34" s="11">
        <f>INDEX(products!$A$2:$G$49,MATCH(orders!$D34,products!$A$2:$A$49,0),MATCH(orders!K$1,products!$A$1:$G$1,0))</f>
        <v>0.5</v>
      </c>
      <c r="L34" s="12">
        <f>INDEX(products!$A$2:$G$49,MATCH(orders!$D34,products!$A$2:$A$49,0),MATCH(orders!L$1,products!$A$1:$G$1,0))</f>
        <v>8.73</v>
      </c>
      <c r="M34" s="12">
        <f t="shared" si="0"/>
        <v>52.38</v>
      </c>
      <c r="N34" s="10" t="str">
        <f t="shared" si="1"/>
        <v>Liberica</v>
      </c>
      <c r="O34" s="10" t="str">
        <f t="shared" si="2"/>
        <v>Medium</v>
      </c>
      <c r="P34" s="10" t="str">
        <f>_xlfn.XLOOKUP(Tableau1[[#This Row],[Customer ID]],customers!A$2:A$1001,customers!I$2:I$1001)</f>
        <v>No</v>
      </c>
    </row>
    <row r="35" spans="1:16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9" t="str">
        <f>_xlfn.XLOOKUP(orders!C35,customers!$A$2:$A$1001,customers!$B$2:$B$1001)</f>
        <v>Gallard Gatheral</v>
      </c>
      <c r="G35" s="9" t="str">
        <f>IF(_xlfn.XLOOKUP(orders!C35,customers!$A$2:$A$1001,customers!$C$2:$C$1001,,,)=0,"",_xlfn.XLOOKUP(orders!C35,customers!$A$2:$A$1001,customers!$C$2:$C$1001,,,))</f>
        <v>ggatheralx@123-reg.co.uk</v>
      </c>
      <c r="H35" s="9" t="str">
        <f>_xlfn.XLOOKUP(C35,customers!$A$2:$A$1001,customers!$G$2:$G$1001,"")</f>
        <v>United States</v>
      </c>
      <c r="I35" s="10" t="str">
        <f>INDEX(products!$A$2:$G$49,MATCH(orders!$D35,products!$A$2:$A$49,0),MATCH(orders!I$1,products!$A$1:$G$1,0))</f>
        <v>Lib</v>
      </c>
      <c r="J35" s="10" t="str">
        <f>INDEX(products!$A$2:$G$49,MATCH(orders!$D35,products!$A$2:$A$49,0),MATCH(orders!J$1,products!$A$1:$G$1,0))</f>
        <v>L</v>
      </c>
      <c r="K35" s="11">
        <f>INDEX(products!$A$2:$G$49,MATCH(orders!$D35,products!$A$2:$A$49,0),MATCH(orders!K$1,products!$A$1:$G$1,0))</f>
        <v>0.2</v>
      </c>
      <c r="L35" s="12">
        <f>INDEX(products!$A$2:$G$49,MATCH(orders!$D35,products!$A$2:$A$49,0),MATCH(orders!L$1,products!$A$1:$G$1,0))</f>
        <v>4.7549999999999999</v>
      </c>
      <c r="M35" s="12">
        <f t="shared" si="0"/>
        <v>23.774999999999999</v>
      </c>
      <c r="N35" s="10" t="str">
        <f t="shared" si="1"/>
        <v>Liberica</v>
      </c>
      <c r="O35" s="10" t="str">
        <f t="shared" si="2"/>
        <v>Light</v>
      </c>
      <c r="P35" s="10" t="str">
        <f>_xlfn.XLOOKUP(Tableau1[[#This Row],[Customer ID]],customers!A$2:A$1001,customers!I$2:I$1001)</f>
        <v>No</v>
      </c>
    </row>
    <row r="36" spans="1:16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9" t="str">
        <f>_xlfn.XLOOKUP(orders!C36,customers!$A$2:$A$1001,customers!$B$2:$B$1001)</f>
        <v>Una Welberry</v>
      </c>
      <c r="G36" s="9" t="str">
        <f>IF(_xlfn.XLOOKUP(orders!C36,customers!$A$2:$A$1001,customers!$C$2:$C$1001,,,)=0,"",_xlfn.XLOOKUP(orders!C36,customers!$A$2:$A$1001,customers!$C$2:$C$1001,,,))</f>
        <v>uwelberryy@ebay.co.uk</v>
      </c>
      <c r="H36" s="9" t="str">
        <f>_xlfn.XLOOKUP(C36,customers!$A$2:$A$1001,customers!$G$2:$G$1001,"")</f>
        <v>United Kingdom</v>
      </c>
      <c r="I36" s="10" t="str">
        <f>INDEX(products!$A$2:$G$49,MATCH(orders!$D36,products!$A$2:$A$49,0),MATCH(orders!I$1,products!$A$1:$G$1,0))</f>
        <v>Lib</v>
      </c>
      <c r="J36" s="10" t="str">
        <f>INDEX(products!$A$2:$G$49,MATCH(orders!$D36,products!$A$2:$A$49,0),MATCH(orders!J$1,products!$A$1:$G$1,0))</f>
        <v>L</v>
      </c>
      <c r="K36" s="11">
        <f>INDEX(products!$A$2:$G$49,MATCH(orders!$D36,products!$A$2:$A$49,0),MATCH(orders!K$1,products!$A$1:$G$1,0))</f>
        <v>0.5</v>
      </c>
      <c r="L36" s="12">
        <f>INDEX(products!$A$2:$G$49,MATCH(orders!$D36,products!$A$2:$A$49,0),MATCH(orders!L$1,products!$A$1:$G$1,0))</f>
        <v>9.51</v>
      </c>
      <c r="M36" s="12">
        <f t="shared" si="0"/>
        <v>57.06</v>
      </c>
      <c r="N36" s="10" t="str">
        <f t="shared" si="1"/>
        <v>Liberica</v>
      </c>
      <c r="O36" s="10" t="str">
        <f t="shared" si="2"/>
        <v>Light</v>
      </c>
      <c r="P36" s="10" t="str">
        <f>_xlfn.XLOOKUP(Tableau1[[#This Row],[Customer ID]],customers!A$2:A$1001,customers!I$2:I$1001)</f>
        <v>Yes</v>
      </c>
    </row>
    <row r="37" spans="1:16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9" t="str">
        <f>_xlfn.XLOOKUP(orders!C37,customers!$A$2:$A$1001,customers!$B$2:$B$1001)</f>
        <v>Faber Eilhart</v>
      </c>
      <c r="G37" s="9" t="str">
        <f>IF(_xlfn.XLOOKUP(orders!C37,customers!$A$2:$A$1001,customers!$C$2:$C$1001,,,)=0,"",_xlfn.XLOOKUP(orders!C37,customers!$A$2:$A$1001,customers!$C$2:$C$1001,,,))</f>
        <v>feilhartz@who.int</v>
      </c>
      <c r="H37" s="9" t="str">
        <f>_xlfn.XLOOKUP(C37,customers!$A$2:$A$1001,customers!$G$2:$G$1001,"")</f>
        <v>United States</v>
      </c>
      <c r="I37" s="10" t="str">
        <f>INDEX(products!$A$2:$G$49,MATCH(orders!$D37,products!$A$2:$A$49,0),MATCH(orders!I$1,products!$A$1:$G$1,0))</f>
        <v>Ara</v>
      </c>
      <c r="J37" s="10" t="str">
        <f>INDEX(products!$A$2:$G$49,MATCH(orders!$D37,products!$A$2:$A$49,0),MATCH(orders!J$1,products!$A$1:$G$1,0))</f>
        <v>D</v>
      </c>
      <c r="K37" s="11">
        <f>INDEX(products!$A$2:$G$49,MATCH(orders!$D37,products!$A$2:$A$49,0),MATCH(orders!K$1,products!$A$1:$G$1,0))</f>
        <v>0.5</v>
      </c>
      <c r="L37" s="12">
        <f>INDEX(products!$A$2:$G$49,MATCH(orders!$D37,products!$A$2:$A$49,0),MATCH(orders!L$1,products!$A$1:$G$1,0))</f>
        <v>5.97</v>
      </c>
      <c r="M37" s="12">
        <f t="shared" si="0"/>
        <v>35.82</v>
      </c>
      <c r="N37" s="10" t="str">
        <f t="shared" si="1"/>
        <v>Arabica</v>
      </c>
      <c r="O37" s="10" t="str">
        <f t="shared" si="2"/>
        <v>Dark</v>
      </c>
      <c r="P37" s="10" t="str">
        <f>_xlfn.XLOOKUP(Tableau1[[#This Row],[Customer ID]],customers!A$2:A$1001,customers!I$2:I$1001)</f>
        <v>No</v>
      </c>
    </row>
    <row r="38" spans="1:16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9" t="str">
        <f>_xlfn.XLOOKUP(orders!C38,customers!$A$2:$A$1001,customers!$B$2:$B$1001)</f>
        <v>Zorina Ponting</v>
      </c>
      <c r="G38" s="9" t="str">
        <f>IF(_xlfn.XLOOKUP(orders!C38,customers!$A$2:$A$1001,customers!$C$2:$C$1001,,,)=0,"",_xlfn.XLOOKUP(orders!C38,customers!$A$2:$A$1001,customers!$C$2:$C$1001,,,))</f>
        <v>zponting10@altervista.org</v>
      </c>
      <c r="H38" s="9" t="str">
        <f>_xlfn.XLOOKUP(C38,customers!$A$2:$A$1001,customers!$G$2:$G$1001,"")</f>
        <v>United States</v>
      </c>
      <c r="I38" s="10" t="str">
        <f>INDEX(products!$A$2:$G$49,MATCH(orders!$D38,products!$A$2:$A$49,0),MATCH(orders!I$1,products!$A$1:$G$1,0))</f>
        <v>Lib</v>
      </c>
      <c r="J38" s="10" t="str">
        <f>INDEX(products!$A$2:$G$49,MATCH(orders!$D38,products!$A$2:$A$49,0),MATCH(orders!J$1,products!$A$1:$G$1,0))</f>
        <v>M</v>
      </c>
      <c r="K38" s="11">
        <f>INDEX(products!$A$2:$G$49,MATCH(orders!$D38,products!$A$2:$A$49,0),MATCH(orders!K$1,products!$A$1:$G$1,0))</f>
        <v>0.2</v>
      </c>
      <c r="L38" s="12">
        <f>INDEX(products!$A$2:$G$49,MATCH(orders!$D38,products!$A$2:$A$49,0),MATCH(orders!L$1,products!$A$1:$G$1,0))</f>
        <v>4.3650000000000002</v>
      </c>
      <c r="M38" s="12">
        <f t="shared" si="0"/>
        <v>8.73</v>
      </c>
      <c r="N38" s="10" t="str">
        <f t="shared" si="1"/>
        <v>Liberica</v>
      </c>
      <c r="O38" s="10" t="str">
        <f t="shared" si="2"/>
        <v>Medium</v>
      </c>
      <c r="P38" s="10" t="str">
        <f>_xlfn.XLOOKUP(Tableau1[[#This Row],[Customer ID]],customers!A$2:A$1001,customers!I$2:I$1001)</f>
        <v>No</v>
      </c>
    </row>
    <row r="39" spans="1:16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9" t="str">
        <f>_xlfn.XLOOKUP(orders!C39,customers!$A$2:$A$1001,customers!$B$2:$B$1001)</f>
        <v>Silvio Strase</v>
      </c>
      <c r="G39" s="9" t="str">
        <f>IF(_xlfn.XLOOKUP(orders!C39,customers!$A$2:$A$1001,customers!$C$2:$C$1001,,,)=0,"",_xlfn.XLOOKUP(orders!C39,customers!$A$2:$A$1001,customers!$C$2:$C$1001,,,))</f>
        <v>sstrase11@booking.com</v>
      </c>
      <c r="H39" s="9" t="str">
        <f>_xlfn.XLOOKUP(C39,customers!$A$2:$A$1001,customers!$G$2:$G$1001,"")</f>
        <v>United States</v>
      </c>
      <c r="I39" s="10" t="str">
        <f>INDEX(products!$A$2:$G$49,MATCH(orders!$D39,products!$A$2:$A$49,0),MATCH(orders!I$1,products!$A$1:$G$1,0))</f>
        <v>Lib</v>
      </c>
      <c r="J39" s="10" t="str">
        <f>INDEX(products!$A$2:$G$49,MATCH(orders!$D39,products!$A$2:$A$49,0),MATCH(orders!J$1,products!$A$1:$G$1,0))</f>
        <v>L</v>
      </c>
      <c r="K39" s="11">
        <f>INDEX(products!$A$2:$G$49,MATCH(orders!$D39,products!$A$2:$A$49,0),MATCH(orders!K$1,products!$A$1:$G$1,0))</f>
        <v>0.5</v>
      </c>
      <c r="L39" s="12">
        <f>INDEX(products!$A$2:$G$49,MATCH(orders!$D39,products!$A$2:$A$49,0),MATCH(orders!L$1,products!$A$1:$G$1,0))</f>
        <v>9.51</v>
      </c>
      <c r="M39" s="12">
        <f t="shared" si="0"/>
        <v>28.53</v>
      </c>
      <c r="N39" s="10" t="str">
        <f t="shared" si="1"/>
        <v>Liberica</v>
      </c>
      <c r="O39" s="10" t="str">
        <f t="shared" si="2"/>
        <v>Light</v>
      </c>
      <c r="P39" s="10" t="str">
        <f>_xlfn.XLOOKUP(Tableau1[[#This Row],[Customer ID]],customers!A$2:A$1001,customers!I$2:I$1001)</f>
        <v>No</v>
      </c>
    </row>
    <row r="40" spans="1:16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9" t="str">
        <f>_xlfn.XLOOKUP(orders!C40,customers!$A$2:$A$1001,customers!$B$2:$B$1001)</f>
        <v>Dorie de la Tremoille</v>
      </c>
      <c r="G40" s="9" t="str">
        <f>IF(_xlfn.XLOOKUP(orders!C40,customers!$A$2:$A$1001,customers!$C$2:$C$1001,,,)=0,"",_xlfn.XLOOKUP(orders!C40,customers!$A$2:$A$1001,customers!$C$2:$C$1001,,,))</f>
        <v>dde12@unesco.org</v>
      </c>
      <c r="H40" s="9" t="str">
        <f>_xlfn.XLOOKUP(C40,customers!$A$2:$A$1001,customers!$G$2:$G$1001,"")</f>
        <v>United States</v>
      </c>
      <c r="I40" s="10" t="str">
        <f>INDEX(products!$A$2:$G$49,MATCH(orders!$D40,products!$A$2:$A$49,0),MATCH(orders!I$1,products!$A$1:$G$1,0))</f>
        <v>Rob</v>
      </c>
      <c r="J40" s="10" t="str">
        <f>INDEX(products!$A$2:$G$49,MATCH(orders!$D40,products!$A$2:$A$49,0),MATCH(orders!J$1,products!$A$1:$G$1,0))</f>
        <v>M</v>
      </c>
      <c r="K40" s="11">
        <f>INDEX(products!$A$2:$G$49,MATCH(orders!$D40,products!$A$2:$A$49,0),MATCH(orders!K$1,products!$A$1:$G$1,0))</f>
        <v>2.5</v>
      </c>
      <c r="L40" s="12">
        <f>INDEX(products!$A$2:$G$49,MATCH(orders!$D40,products!$A$2:$A$49,0),MATCH(orders!L$1,products!$A$1:$G$1,0))</f>
        <v>22.884999999999998</v>
      </c>
      <c r="M40" s="12">
        <f t="shared" si="0"/>
        <v>114.42499999999998</v>
      </c>
      <c r="N40" s="10" t="str">
        <f t="shared" si="1"/>
        <v>Robusta</v>
      </c>
      <c r="O40" s="10" t="str">
        <f t="shared" si="2"/>
        <v>Medium</v>
      </c>
      <c r="P40" s="10" t="str">
        <f>_xlfn.XLOOKUP(Tableau1[[#This Row],[Customer ID]],customers!A$2:A$1001,customers!I$2:I$1001)</f>
        <v>No</v>
      </c>
    </row>
    <row r="41" spans="1:16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9" t="str">
        <f>_xlfn.XLOOKUP(orders!C41,customers!$A$2:$A$1001,customers!$B$2:$B$1001)</f>
        <v>Hy Zanetto</v>
      </c>
      <c r="G41" s="9" t="str">
        <f>IF(_xlfn.XLOOKUP(orders!C41,customers!$A$2:$A$1001,customers!$C$2:$C$1001,,,)=0,"",_xlfn.XLOOKUP(orders!C41,customers!$A$2:$A$1001,customers!$C$2:$C$1001,,,))</f>
        <v/>
      </c>
      <c r="H41" s="9" t="str">
        <f>_xlfn.XLOOKUP(C41,customers!$A$2:$A$1001,customers!$G$2:$G$1001,"")</f>
        <v>United States</v>
      </c>
      <c r="I41" s="10" t="str">
        <f>INDEX(products!$A$2:$G$49,MATCH(orders!$D41,products!$A$2:$A$49,0),MATCH(orders!I$1,products!$A$1:$G$1,0))</f>
        <v>Rob</v>
      </c>
      <c r="J41" s="10" t="str">
        <f>INDEX(products!$A$2:$G$49,MATCH(orders!$D41,products!$A$2:$A$49,0),MATCH(orders!J$1,products!$A$1:$G$1,0))</f>
        <v>M</v>
      </c>
      <c r="K41" s="11">
        <f>INDEX(products!$A$2:$G$49,MATCH(orders!$D41,products!$A$2:$A$49,0),MATCH(orders!K$1,products!$A$1:$G$1,0))</f>
        <v>1</v>
      </c>
      <c r="L41" s="12">
        <f>INDEX(products!$A$2:$G$49,MATCH(orders!$D41,products!$A$2:$A$49,0),MATCH(orders!L$1,products!$A$1:$G$1,0))</f>
        <v>9.9499999999999993</v>
      </c>
      <c r="M41" s="12">
        <f t="shared" si="0"/>
        <v>59.699999999999996</v>
      </c>
      <c r="N41" s="10" t="str">
        <f t="shared" si="1"/>
        <v>Robusta</v>
      </c>
      <c r="O41" s="10" t="str">
        <f t="shared" si="2"/>
        <v>Medium</v>
      </c>
      <c r="P41" s="10" t="str">
        <f>_xlfn.XLOOKUP(Tableau1[[#This Row],[Customer ID]],customers!A$2:A$1001,customers!I$2:I$1001)</f>
        <v>Yes</v>
      </c>
    </row>
    <row r="42" spans="1:16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9" t="str">
        <f>_xlfn.XLOOKUP(orders!C42,customers!$A$2:$A$1001,customers!$B$2:$B$1001)</f>
        <v>Jessica McNess</v>
      </c>
      <c r="G42" s="9" t="str">
        <f>IF(_xlfn.XLOOKUP(orders!C42,customers!$A$2:$A$1001,customers!$C$2:$C$1001,,,)=0,"",_xlfn.XLOOKUP(orders!C42,customers!$A$2:$A$1001,customers!$C$2:$C$1001,,,))</f>
        <v/>
      </c>
      <c r="H42" s="9" t="str">
        <f>_xlfn.XLOOKUP(C42,customers!$A$2:$A$1001,customers!$G$2:$G$1001,"")</f>
        <v>United States</v>
      </c>
      <c r="I42" s="10" t="str">
        <f>INDEX(products!$A$2:$G$49,MATCH(orders!$D42,products!$A$2:$A$49,0),MATCH(orders!I$1,products!$A$1:$G$1,0))</f>
        <v>Lib</v>
      </c>
      <c r="J42" s="10" t="str">
        <f>INDEX(products!$A$2:$G$49,MATCH(orders!$D42,products!$A$2:$A$49,0),MATCH(orders!J$1,products!$A$1:$G$1,0))</f>
        <v>M</v>
      </c>
      <c r="K42" s="11">
        <f>INDEX(products!$A$2:$G$49,MATCH(orders!$D42,products!$A$2:$A$49,0),MATCH(orders!K$1,products!$A$1:$G$1,0))</f>
        <v>1</v>
      </c>
      <c r="L42" s="12">
        <f>INDEX(products!$A$2:$G$49,MATCH(orders!$D42,products!$A$2:$A$49,0),MATCH(orders!L$1,products!$A$1:$G$1,0))</f>
        <v>14.55</v>
      </c>
      <c r="M42" s="12">
        <f t="shared" si="0"/>
        <v>43.650000000000006</v>
      </c>
      <c r="N42" s="10" t="str">
        <f t="shared" si="1"/>
        <v>Liberica</v>
      </c>
      <c r="O42" s="10" t="str">
        <f t="shared" si="2"/>
        <v>Medium</v>
      </c>
      <c r="P42" s="10" t="str">
        <f>_xlfn.XLOOKUP(Tableau1[[#This Row],[Customer ID]],customers!A$2:A$1001,customers!I$2:I$1001)</f>
        <v>No</v>
      </c>
    </row>
    <row r="43" spans="1:16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9" t="str">
        <f>_xlfn.XLOOKUP(orders!C43,customers!$A$2:$A$1001,customers!$B$2:$B$1001)</f>
        <v>Lorenzo Yeoland</v>
      </c>
      <c r="G43" s="9" t="str">
        <f>IF(_xlfn.XLOOKUP(orders!C43,customers!$A$2:$A$1001,customers!$C$2:$C$1001,,,)=0,"",_xlfn.XLOOKUP(orders!C43,customers!$A$2:$A$1001,customers!$C$2:$C$1001,,,))</f>
        <v>lyeoland15@pbs.org</v>
      </c>
      <c r="H43" s="9" t="str">
        <f>_xlfn.XLOOKUP(C43,customers!$A$2:$A$1001,customers!$G$2:$G$1001,"")</f>
        <v>United States</v>
      </c>
      <c r="I43" s="10" t="str">
        <f>INDEX(products!$A$2:$G$49,MATCH(orders!$D43,products!$A$2:$A$49,0),MATCH(orders!I$1,products!$A$1:$G$1,0))</f>
        <v>Exc</v>
      </c>
      <c r="J43" s="10" t="str">
        <f>INDEX(products!$A$2:$G$49,MATCH(orders!$D43,products!$A$2:$A$49,0),MATCH(orders!J$1,products!$A$1:$G$1,0))</f>
        <v>D</v>
      </c>
      <c r="K43" s="11">
        <f>INDEX(products!$A$2:$G$49,MATCH(orders!$D43,products!$A$2:$A$49,0),MATCH(orders!K$1,products!$A$1:$G$1,0))</f>
        <v>0.2</v>
      </c>
      <c r="L43" s="12">
        <f>INDEX(products!$A$2:$G$49,MATCH(orders!$D43,products!$A$2:$A$49,0),MATCH(orders!L$1,products!$A$1:$G$1,0))</f>
        <v>3.645</v>
      </c>
      <c r="M43" s="12">
        <f t="shared" si="0"/>
        <v>7.29</v>
      </c>
      <c r="N43" s="10" t="str">
        <f t="shared" si="1"/>
        <v>Excelsa</v>
      </c>
      <c r="O43" s="10" t="str">
        <f t="shared" si="2"/>
        <v>Dark</v>
      </c>
      <c r="P43" s="10" t="str">
        <f>_xlfn.XLOOKUP(Tableau1[[#This Row],[Customer ID]],customers!A$2:A$1001,customers!I$2:I$1001)</f>
        <v>Yes</v>
      </c>
    </row>
    <row r="44" spans="1:16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9" t="str">
        <f>_xlfn.XLOOKUP(orders!C44,customers!$A$2:$A$1001,customers!$B$2:$B$1001)</f>
        <v>Abigail Tolworthy</v>
      </c>
      <c r="G44" s="9" t="str">
        <f>IF(_xlfn.XLOOKUP(orders!C44,customers!$A$2:$A$1001,customers!$C$2:$C$1001,,,)=0,"",_xlfn.XLOOKUP(orders!C44,customers!$A$2:$A$1001,customers!$C$2:$C$1001,,,))</f>
        <v>atolworthy16@toplist.cz</v>
      </c>
      <c r="H44" s="9" t="str">
        <f>_xlfn.XLOOKUP(C44,customers!$A$2:$A$1001,customers!$G$2:$G$1001,"")</f>
        <v>United States</v>
      </c>
      <c r="I44" s="10" t="str">
        <f>INDEX(products!$A$2:$G$49,MATCH(orders!$D44,products!$A$2:$A$49,0),MATCH(orders!I$1,products!$A$1:$G$1,0))</f>
        <v>Rob</v>
      </c>
      <c r="J44" s="10" t="str">
        <f>INDEX(products!$A$2:$G$49,MATCH(orders!$D44,products!$A$2:$A$49,0),MATCH(orders!J$1,products!$A$1:$G$1,0))</f>
        <v>D</v>
      </c>
      <c r="K44" s="11">
        <f>INDEX(products!$A$2:$G$49,MATCH(orders!$D44,products!$A$2:$A$49,0),MATCH(orders!K$1,products!$A$1:$G$1,0))</f>
        <v>0.2</v>
      </c>
      <c r="L44" s="12">
        <f>INDEX(products!$A$2:$G$49,MATCH(orders!$D44,products!$A$2:$A$49,0),MATCH(orders!L$1,products!$A$1:$G$1,0))</f>
        <v>2.6849999999999996</v>
      </c>
      <c r="M44" s="12">
        <f t="shared" si="0"/>
        <v>8.0549999999999997</v>
      </c>
      <c r="N44" s="10" t="str">
        <f t="shared" si="1"/>
        <v>Robusta</v>
      </c>
      <c r="O44" s="10" t="str">
        <f t="shared" si="2"/>
        <v>Dark</v>
      </c>
      <c r="P44" s="10" t="str">
        <f>_xlfn.XLOOKUP(Tableau1[[#This Row],[Customer ID]],customers!A$2:A$1001,customers!I$2:I$1001)</f>
        <v>Yes</v>
      </c>
    </row>
    <row r="45" spans="1:16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9" t="str">
        <f>_xlfn.XLOOKUP(orders!C45,customers!$A$2:$A$1001,customers!$B$2:$B$1001)</f>
        <v>Maurie Bartol</v>
      </c>
      <c r="G45" s="9" t="str">
        <f>IF(_xlfn.XLOOKUP(orders!C45,customers!$A$2:$A$1001,customers!$C$2:$C$1001,,,)=0,"",_xlfn.XLOOKUP(orders!C45,customers!$A$2:$A$1001,customers!$C$2:$C$1001,,,))</f>
        <v/>
      </c>
      <c r="H45" s="9" t="str">
        <f>_xlfn.XLOOKUP(C45,customers!$A$2:$A$1001,customers!$G$2:$G$1001,"")</f>
        <v>United States</v>
      </c>
      <c r="I45" s="10" t="str">
        <f>INDEX(products!$A$2:$G$49,MATCH(orders!$D45,products!$A$2:$A$49,0),MATCH(orders!I$1,products!$A$1:$G$1,0))</f>
        <v>Lib</v>
      </c>
      <c r="J45" s="10" t="str">
        <f>INDEX(products!$A$2:$G$49,MATCH(orders!$D45,products!$A$2:$A$49,0),MATCH(orders!J$1,products!$A$1:$G$1,0))</f>
        <v>L</v>
      </c>
      <c r="K45" s="11">
        <f>INDEX(products!$A$2:$G$49,MATCH(orders!$D45,products!$A$2:$A$49,0),MATCH(orders!K$1,products!$A$1:$G$1,0))</f>
        <v>2.5</v>
      </c>
      <c r="L45" s="12">
        <f>INDEX(products!$A$2:$G$49,MATCH(orders!$D45,products!$A$2:$A$49,0),MATCH(orders!L$1,products!$A$1:$G$1,0))</f>
        <v>36.454999999999998</v>
      </c>
      <c r="M45" s="12">
        <f t="shared" si="0"/>
        <v>72.91</v>
      </c>
      <c r="N45" s="10" t="str">
        <f t="shared" si="1"/>
        <v>Liberica</v>
      </c>
      <c r="O45" s="10" t="str">
        <f t="shared" si="2"/>
        <v>Light</v>
      </c>
      <c r="P45" s="10" t="str">
        <f>_xlfn.XLOOKUP(Tableau1[[#This Row],[Customer ID]],customers!A$2:A$1001,customers!I$2:I$1001)</f>
        <v>No</v>
      </c>
    </row>
    <row r="46" spans="1:16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9" t="str">
        <f>_xlfn.XLOOKUP(orders!C46,customers!$A$2:$A$1001,customers!$B$2:$B$1001)</f>
        <v>Olag Baudassi</v>
      </c>
      <c r="G46" s="9" t="str">
        <f>IF(_xlfn.XLOOKUP(orders!C46,customers!$A$2:$A$1001,customers!$C$2:$C$1001,,,)=0,"",_xlfn.XLOOKUP(orders!C46,customers!$A$2:$A$1001,customers!$C$2:$C$1001,,,))</f>
        <v>obaudassi18@seesaa.net</v>
      </c>
      <c r="H46" s="9" t="str">
        <f>_xlfn.XLOOKUP(C46,customers!$A$2:$A$1001,customers!$G$2:$G$1001,"")</f>
        <v>United States</v>
      </c>
      <c r="I46" s="10" t="str">
        <f>INDEX(products!$A$2:$G$49,MATCH(orders!$D46,products!$A$2:$A$49,0),MATCH(orders!I$1,products!$A$1:$G$1,0))</f>
        <v>Exc</v>
      </c>
      <c r="J46" s="10" t="str">
        <f>INDEX(products!$A$2:$G$49,MATCH(orders!$D46,products!$A$2:$A$49,0),MATCH(orders!J$1,products!$A$1:$G$1,0))</f>
        <v>M</v>
      </c>
      <c r="K46" s="11">
        <f>INDEX(products!$A$2:$G$49,MATCH(orders!$D46,products!$A$2:$A$49,0),MATCH(orders!K$1,products!$A$1:$G$1,0))</f>
        <v>0.5</v>
      </c>
      <c r="L46" s="12">
        <f>INDEX(products!$A$2:$G$49,MATCH(orders!$D46,products!$A$2:$A$49,0),MATCH(orders!L$1,products!$A$1:$G$1,0))</f>
        <v>8.25</v>
      </c>
      <c r="M46" s="12">
        <f t="shared" si="0"/>
        <v>16.5</v>
      </c>
      <c r="N46" s="10" t="str">
        <f t="shared" si="1"/>
        <v>Excelsa</v>
      </c>
      <c r="O46" s="10" t="str">
        <f t="shared" si="2"/>
        <v>Medium</v>
      </c>
      <c r="P46" s="10" t="str">
        <f>_xlfn.XLOOKUP(Tableau1[[#This Row],[Customer ID]],customers!A$2:A$1001,customers!I$2:I$1001)</f>
        <v>Yes</v>
      </c>
    </row>
    <row r="47" spans="1:16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9" t="str">
        <f>_xlfn.XLOOKUP(orders!C47,customers!$A$2:$A$1001,customers!$B$2:$B$1001)</f>
        <v>Petey Kingsbury</v>
      </c>
      <c r="G47" s="9" t="str">
        <f>IF(_xlfn.XLOOKUP(orders!C47,customers!$A$2:$A$1001,customers!$C$2:$C$1001,,,)=0,"",_xlfn.XLOOKUP(orders!C47,customers!$A$2:$A$1001,customers!$C$2:$C$1001,,,))</f>
        <v>pkingsbury19@comcast.net</v>
      </c>
      <c r="H47" s="9" t="str">
        <f>_xlfn.XLOOKUP(C47,customers!$A$2:$A$1001,customers!$G$2:$G$1001,"")</f>
        <v>United States</v>
      </c>
      <c r="I47" s="10" t="str">
        <f>INDEX(products!$A$2:$G$49,MATCH(orders!$D47,products!$A$2:$A$49,0),MATCH(orders!I$1,products!$A$1:$G$1,0))</f>
        <v>Lib</v>
      </c>
      <c r="J47" s="10" t="str">
        <f>INDEX(products!$A$2:$G$49,MATCH(orders!$D47,products!$A$2:$A$49,0),MATCH(orders!J$1,products!$A$1:$G$1,0))</f>
        <v>D</v>
      </c>
      <c r="K47" s="11">
        <f>INDEX(products!$A$2:$G$49,MATCH(orders!$D47,products!$A$2:$A$49,0),MATCH(orders!K$1,products!$A$1:$G$1,0))</f>
        <v>2.5</v>
      </c>
      <c r="L47" s="12">
        <f>INDEX(products!$A$2:$G$49,MATCH(orders!$D47,products!$A$2:$A$49,0),MATCH(orders!L$1,products!$A$1:$G$1,0))</f>
        <v>29.784999999999997</v>
      </c>
      <c r="M47" s="12">
        <f t="shared" si="0"/>
        <v>178.70999999999998</v>
      </c>
      <c r="N47" s="10" t="str">
        <f t="shared" si="1"/>
        <v>Liberica</v>
      </c>
      <c r="O47" s="10" t="str">
        <f t="shared" si="2"/>
        <v>Dark</v>
      </c>
      <c r="P47" s="10" t="str">
        <f>_xlfn.XLOOKUP(Tableau1[[#This Row],[Customer ID]],customers!A$2:A$1001,customers!I$2:I$1001)</f>
        <v>No</v>
      </c>
    </row>
    <row r="48" spans="1:16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9" t="str">
        <f>_xlfn.XLOOKUP(orders!C48,customers!$A$2:$A$1001,customers!$B$2:$B$1001)</f>
        <v>Donna Baskeyfied</v>
      </c>
      <c r="G48" s="9" t="str">
        <f>IF(_xlfn.XLOOKUP(orders!C48,customers!$A$2:$A$1001,customers!$C$2:$C$1001,,,)=0,"",_xlfn.XLOOKUP(orders!C48,customers!$A$2:$A$1001,customers!$C$2:$C$1001,,,))</f>
        <v/>
      </c>
      <c r="H48" s="9" t="str">
        <f>_xlfn.XLOOKUP(C48,customers!$A$2:$A$1001,customers!$G$2:$G$1001,"")</f>
        <v>United States</v>
      </c>
      <c r="I48" s="10" t="str">
        <f>INDEX(products!$A$2:$G$49,MATCH(orders!$D48,products!$A$2:$A$49,0),MATCH(orders!I$1,products!$A$1:$G$1,0))</f>
        <v>Exc</v>
      </c>
      <c r="J48" s="10" t="str">
        <f>INDEX(products!$A$2:$G$49,MATCH(orders!$D48,products!$A$2:$A$49,0),MATCH(orders!J$1,products!$A$1:$G$1,0))</f>
        <v>M</v>
      </c>
      <c r="K48" s="11">
        <f>INDEX(products!$A$2:$G$49,MATCH(orders!$D48,products!$A$2:$A$49,0),MATCH(orders!K$1,products!$A$1:$G$1,0))</f>
        <v>2.5</v>
      </c>
      <c r="L48" s="12">
        <f>INDEX(products!$A$2:$G$49,MATCH(orders!$D48,products!$A$2:$A$49,0),MATCH(orders!L$1,products!$A$1:$G$1,0))</f>
        <v>31.624999999999996</v>
      </c>
      <c r="M48" s="12">
        <f t="shared" si="0"/>
        <v>63.249999999999993</v>
      </c>
      <c r="N48" s="10" t="str">
        <f t="shared" si="1"/>
        <v>Excelsa</v>
      </c>
      <c r="O48" s="10" t="str">
        <f t="shared" si="2"/>
        <v>Medium</v>
      </c>
      <c r="P48" s="10" t="str">
        <f>_xlfn.XLOOKUP(Tableau1[[#This Row],[Customer ID]],customers!A$2:A$1001,customers!I$2:I$1001)</f>
        <v>Yes</v>
      </c>
    </row>
    <row r="49" spans="1:16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9" t="str">
        <f>_xlfn.XLOOKUP(orders!C49,customers!$A$2:$A$1001,customers!$B$2:$B$1001)</f>
        <v>Arda Curley</v>
      </c>
      <c r="G49" s="9" t="str">
        <f>IF(_xlfn.XLOOKUP(orders!C49,customers!$A$2:$A$1001,customers!$C$2:$C$1001,,,)=0,"",_xlfn.XLOOKUP(orders!C49,customers!$A$2:$A$1001,customers!$C$2:$C$1001,,,))</f>
        <v>acurley1b@hao123.com</v>
      </c>
      <c r="H49" s="9" t="str">
        <f>_xlfn.XLOOKUP(C49,customers!$A$2:$A$1001,customers!$G$2:$G$1001,"")</f>
        <v>United States</v>
      </c>
      <c r="I49" s="10" t="str">
        <f>INDEX(products!$A$2:$G$49,MATCH(orders!$D49,products!$A$2:$A$49,0),MATCH(orders!I$1,products!$A$1:$G$1,0))</f>
        <v>Ara</v>
      </c>
      <c r="J49" s="10" t="str">
        <f>INDEX(products!$A$2:$G$49,MATCH(orders!$D49,products!$A$2:$A$49,0),MATCH(orders!J$1,products!$A$1:$G$1,0))</f>
        <v>L</v>
      </c>
      <c r="K49" s="11">
        <f>INDEX(products!$A$2:$G$49,MATCH(orders!$D49,products!$A$2:$A$49,0),MATCH(orders!K$1,products!$A$1:$G$1,0))</f>
        <v>0.2</v>
      </c>
      <c r="L49" s="12">
        <f>INDEX(products!$A$2:$G$49,MATCH(orders!$D49,products!$A$2:$A$49,0),MATCH(orders!L$1,products!$A$1:$G$1,0))</f>
        <v>3.8849999999999998</v>
      </c>
      <c r="M49" s="12">
        <f t="shared" si="0"/>
        <v>7.77</v>
      </c>
      <c r="N49" s="10" t="str">
        <f t="shared" si="1"/>
        <v>Arabica</v>
      </c>
      <c r="O49" s="10" t="str">
        <f t="shared" si="2"/>
        <v>Light</v>
      </c>
      <c r="P49" s="10" t="str">
        <f>_xlfn.XLOOKUP(Tableau1[[#This Row],[Customer ID]],customers!A$2:A$1001,customers!I$2:I$1001)</f>
        <v>Yes</v>
      </c>
    </row>
    <row r="50" spans="1:16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9" t="str">
        <f>_xlfn.XLOOKUP(orders!C50,customers!$A$2:$A$1001,customers!$B$2:$B$1001)</f>
        <v>Raynor McGilvary</v>
      </c>
      <c r="G50" s="9" t="str">
        <f>IF(_xlfn.XLOOKUP(orders!C50,customers!$A$2:$A$1001,customers!$C$2:$C$1001,,,)=0,"",_xlfn.XLOOKUP(orders!C50,customers!$A$2:$A$1001,customers!$C$2:$C$1001,,,))</f>
        <v>rmcgilvary1c@tamu.edu</v>
      </c>
      <c r="H50" s="9" t="str">
        <f>_xlfn.XLOOKUP(C50,customers!$A$2:$A$1001,customers!$G$2:$G$1001,"")</f>
        <v>United States</v>
      </c>
      <c r="I50" s="10" t="str">
        <f>INDEX(products!$A$2:$G$49,MATCH(orders!$D50,products!$A$2:$A$49,0),MATCH(orders!I$1,products!$A$1:$G$1,0))</f>
        <v>Ara</v>
      </c>
      <c r="J50" s="10" t="str">
        <f>INDEX(products!$A$2:$G$49,MATCH(orders!$D50,products!$A$2:$A$49,0),MATCH(orders!J$1,products!$A$1:$G$1,0))</f>
        <v>D</v>
      </c>
      <c r="K50" s="11">
        <f>INDEX(products!$A$2:$G$49,MATCH(orders!$D50,products!$A$2:$A$49,0),MATCH(orders!K$1,products!$A$1:$G$1,0))</f>
        <v>2.5</v>
      </c>
      <c r="L50" s="12">
        <f>INDEX(products!$A$2:$G$49,MATCH(orders!$D50,products!$A$2:$A$49,0),MATCH(orders!L$1,products!$A$1:$G$1,0))</f>
        <v>22.884999999999998</v>
      </c>
      <c r="M50" s="12">
        <f t="shared" si="0"/>
        <v>91.539999999999992</v>
      </c>
      <c r="N50" s="10" t="str">
        <f t="shared" si="1"/>
        <v>Arabica</v>
      </c>
      <c r="O50" s="10" t="str">
        <f t="shared" si="2"/>
        <v>Dark</v>
      </c>
      <c r="P50" s="10" t="str">
        <f>_xlfn.XLOOKUP(Tableau1[[#This Row],[Customer ID]],customers!A$2:A$1001,customers!I$2:I$1001)</f>
        <v>No</v>
      </c>
    </row>
    <row r="51" spans="1:16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9" t="str">
        <f>_xlfn.XLOOKUP(orders!C51,customers!$A$2:$A$1001,customers!$B$2:$B$1001)</f>
        <v>Isis Pikett</v>
      </c>
      <c r="G51" s="9" t="str">
        <f>IF(_xlfn.XLOOKUP(orders!C51,customers!$A$2:$A$1001,customers!$C$2:$C$1001,,,)=0,"",_xlfn.XLOOKUP(orders!C51,customers!$A$2:$A$1001,customers!$C$2:$C$1001,,,))</f>
        <v>ipikett1d@xinhuanet.com</v>
      </c>
      <c r="H51" s="9" t="str">
        <f>_xlfn.XLOOKUP(C51,customers!$A$2:$A$1001,customers!$G$2:$G$1001,"")</f>
        <v>United States</v>
      </c>
      <c r="I51" s="10" t="str">
        <f>INDEX(products!$A$2:$G$49,MATCH(orders!$D51,products!$A$2:$A$49,0),MATCH(orders!I$1,products!$A$1:$G$1,0))</f>
        <v>Ara</v>
      </c>
      <c r="J51" s="10" t="str">
        <f>INDEX(products!$A$2:$G$49,MATCH(orders!$D51,products!$A$2:$A$49,0),MATCH(orders!J$1,products!$A$1:$G$1,0))</f>
        <v>L</v>
      </c>
      <c r="K51" s="11">
        <f>INDEX(products!$A$2:$G$49,MATCH(orders!$D51,products!$A$2:$A$49,0),MATCH(orders!K$1,products!$A$1:$G$1,0))</f>
        <v>1</v>
      </c>
      <c r="L51" s="12">
        <f>INDEX(products!$A$2:$G$49,MATCH(orders!$D51,products!$A$2:$A$49,0),MATCH(orders!L$1,products!$A$1:$G$1,0))</f>
        <v>12.95</v>
      </c>
      <c r="M51" s="12">
        <f t="shared" si="0"/>
        <v>38.849999999999994</v>
      </c>
      <c r="N51" s="10" t="str">
        <f t="shared" si="1"/>
        <v>Arabica</v>
      </c>
      <c r="O51" s="10" t="str">
        <f t="shared" si="2"/>
        <v>Light</v>
      </c>
      <c r="P51" s="10" t="str">
        <f>_xlfn.XLOOKUP(Tableau1[[#This Row],[Customer ID]],customers!A$2:A$1001,customers!I$2:I$1001)</f>
        <v>No</v>
      </c>
    </row>
    <row r="52" spans="1:16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9" t="str">
        <f>_xlfn.XLOOKUP(orders!C52,customers!$A$2:$A$1001,customers!$B$2:$B$1001)</f>
        <v>Inger Bouldon</v>
      </c>
      <c r="G52" s="9" t="str">
        <f>IF(_xlfn.XLOOKUP(orders!C52,customers!$A$2:$A$1001,customers!$C$2:$C$1001,,,)=0,"",_xlfn.XLOOKUP(orders!C52,customers!$A$2:$A$1001,customers!$C$2:$C$1001,,,))</f>
        <v>ibouldon1e@gizmodo.com</v>
      </c>
      <c r="H52" s="9" t="str">
        <f>_xlfn.XLOOKUP(C52,customers!$A$2:$A$1001,customers!$G$2:$G$1001,"")</f>
        <v>United States</v>
      </c>
      <c r="I52" s="10" t="str">
        <f>INDEX(products!$A$2:$G$49,MATCH(orders!$D52,products!$A$2:$A$49,0),MATCH(orders!I$1,products!$A$1:$G$1,0))</f>
        <v>Lib</v>
      </c>
      <c r="J52" s="10" t="str">
        <f>INDEX(products!$A$2:$G$49,MATCH(orders!$D52,products!$A$2:$A$49,0),MATCH(orders!J$1,products!$A$1:$G$1,0))</f>
        <v>D</v>
      </c>
      <c r="K52" s="11">
        <f>INDEX(products!$A$2:$G$49,MATCH(orders!$D52,products!$A$2:$A$49,0),MATCH(orders!K$1,products!$A$1:$G$1,0))</f>
        <v>0.5</v>
      </c>
      <c r="L52" s="12">
        <f>INDEX(products!$A$2:$G$49,MATCH(orders!$D52,products!$A$2:$A$49,0),MATCH(orders!L$1,products!$A$1:$G$1,0))</f>
        <v>7.77</v>
      </c>
      <c r="M52" s="12">
        <f t="shared" si="0"/>
        <v>15.54</v>
      </c>
      <c r="N52" s="10" t="str">
        <f t="shared" si="1"/>
        <v>Liberica</v>
      </c>
      <c r="O52" s="10" t="str">
        <f t="shared" si="2"/>
        <v>Dark</v>
      </c>
      <c r="P52" s="10" t="str">
        <f>_xlfn.XLOOKUP(Tableau1[[#This Row],[Customer ID]],customers!A$2:A$1001,customers!I$2:I$1001)</f>
        <v>No</v>
      </c>
    </row>
    <row r="53" spans="1:16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9" t="str">
        <f>_xlfn.XLOOKUP(orders!C53,customers!$A$2:$A$1001,customers!$B$2:$B$1001)</f>
        <v>Karry Flanders</v>
      </c>
      <c r="G53" s="9" t="str">
        <f>IF(_xlfn.XLOOKUP(orders!C53,customers!$A$2:$A$1001,customers!$C$2:$C$1001,,,)=0,"",_xlfn.XLOOKUP(orders!C53,customers!$A$2:$A$1001,customers!$C$2:$C$1001,,,))</f>
        <v>kflanders1f@over-blog.com</v>
      </c>
      <c r="H53" s="9" t="str">
        <f>_xlfn.XLOOKUP(C53,customers!$A$2:$A$1001,customers!$G$2:$G$1001,"")</f>
        <v>Ireland</v>
      </c>
      <c r="I53" s="10" t="str">
        <f>INDEX(products!$A$2:$G$49,MATCH(orders!$D53,products!$A$2:$A$49,0),MATCH(orders!I$1,products!$A$1:$G$1,0))</f>
        <v>Lib</v>
      </c>
      <c r="J53" s="10" t="str">
        <f>INDEX(products!$A$2:$G$49,MATCH(orders!$D53,products!$A$2:$A$49,0),MATCH(orders!J$1,products!$A$1:$G$1,0))</f>
        <v>L</v>
      </c>
      <c r="K53" s="11">
        <f>INDEX(products!$A$2:$G$49,MATCH(orders!$D53,products!$A$2:$A$49,0),MATCH(orders!K$1,products!$A$1:$G$1,0))</f>
        <v>2.5</v>
      </c>
      <c r="L53" s="12">
        <f>INDEX(products!$A$2:$G$49,MATCH(orders!$D53,products!$A$2:$A$49,0),MATCH(orders!L$1,products!$A$1:$G$1,0))</f>
        <v>36.454999999999998</v>
      </c>
      <c r="M53" s="12">
        <f t="shared" si="0"/>
        <v>145.82</v>
      </c>
      <c r="N53" s="10" t="str">
        <f t="shared" si="1"/>
        <v>Liberica</v>
      </c>
      <c r="O53" s="10" t="str">
        <f t="shared" si="2"/>
        <v>Light</v>
      </c>
      <c r="P53" s="10" t="str">
        <f>_xlfn.XLOOKUP(Tableau1[[#This Row],[Customer ID]],customers!A$2:A$1001,customers!I$2:I$1001)</f>
        <v>Yes</v>
      </c>
    </row>
    <row r="54" spans="1:16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9" t="str">
        <f>_xlfn.XLOOKUP(orders!C54,customers!$A$2:$A$1001,customers!$B$2:$B$1001)</f>
        <v>Hartley Mattioli</v>
      </c>
      <c r="G54" s="9" t="str">
        <f>IF(_xlfn.XLOOKUP(orders!C54,customers!$A$2:$A$1001,customers!$C$2:$C$1001,,,)=0,"",_xlfn.XLOOKUP(orders!C54,customers!$A$2:$A$1001,customers!$C$2:$C$1001,,,))</f>
        <v>hmattioli1g@webmd.com</v>
      </c>
      <c r="H54" s="9" t="str">
        <f>_xlfn.XLOOKUP(C54,customers!$A$2:$A$1001,customers!$G$2:$G$1001,"")</f>
        <v>United Kingdom</v>
      </c>
      <c r="I54" s="10" t="str">
        <f>INDEX(products!$A$2:$G$49,MATCH(orders!$D54,products!$A$2:$A$49,0),MATCH(orders!I$1,products!$A$1:$G$1,0))</f>
        <v>Rob</v>
      </c>
      <c r="J54" s="10" t="str">
        <f>INDEX(products!$A$2:$G$49,MATCH(orders!$D54,products!$A$2:$A$49,0),MATCH(orders!J$1,products!$A$1:$G$1,0))</f>
        <v>M</v>
      </c>
      <c r="K54" s="11">
        <f>INDEX(products!$A$2:$G$49,MATCH(orders!$D54,products!$A$2:$A$49,0),MATCH(orders!K$1,products!$A$1:$G$1,0))</f>
        <v>0.5</v>
      </c>
      <c r="L54" s="12">
        <f>INDEX(products!$A$2:$G$49,MATCH(orders!$D54,products!$A$2:$A$49,0),MATCH(orders!L$1,products!$A$1:$G$1,0))</f>
        <v>5.97</v>
      </c>
      <c r="M54" s="12">
        <f t="shared" si="0"/>
        <v>29.849999999999998</v>
      </c>
      <c r="N54" s="10" t="str">
        <f t="shared" si="1"/>
        <v>Robusta</v>
      </c>
      <c r="O54" s="10" t="str">
        <f t="shared" si="2"/>
        <v>Medium</v>
      </c>
      <c r="P54" s="10" t="str">
        <f>_xlfn.XLOOKUP(Tableau1[[#This Row],[Customer ID]],customers!A$2:A$1001,customers!I$2:I$1001)</f>
        <v>No</v>
      </c>
    </row>
    <row r="55" spans="1:16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9" t="str">
        <f>_xlfn.XLOOKUP(orders!C55,customers!$A$2:$A$1001,customers!$B$2:$B$1001)</f>
        <v>Hartley Mattioli</v>
      </c>
      <c r="G55" s="9" t="str">
        <f>IF(_xlfn.XLOOKUP(orders!C55,customers!$A$2:$A$1001,customers!$C$2:$C$1001,,,)=0,"",_xlfn.XLOOKUP(orders!C55,customers!$A$2:$A$1001,customers!$C$2:$C$1001,,,))</f>
        <v>hmattioli1g@webmd.com</v>
      </c>
      <c r="H55" s="9" t="str">
        <f>_xlfn.XLOOKUP(C55,customers!$A$2:$A$1001,customers!$G$2:$G$1001,"")</f>
        <v>United Kingdom</v>
      </c>
      <c r="I55" s="10" t="str">
        <f>INDEX(products!$A$2:$G$49,MATCH(orders!$D55,products!$A$2:$A$49,0),MATCH(orders!I$1,products!$A$1:$G$1,0))</f>
        <v>Lib</v>
      </c>
      <c r="J55" s="10" t="str">
        <f>INDEX(products!$A$2:$G$49,MATCH(orders!$D55,products!$A$2:$A$49,0),MATCH(orders!J$1,products!$A$1:$G$1,0))</f>
        <v>L</v>
      </c>
      <c r="K55" s="11">
        <f>INDEX(products!$A$2:$G$49,MATCH(orders!$D55,products!$A$2:$A$49,0),MATCH(orders!K$1,products!$A$1:$G$1,0))</f>
        <v>2.5</v>
      </c>
      <c r="L55" s="12">
        <f>INDEX(products!$A$2:$G$49,MATCH(orders!$D55,products!$A$2:$A$49,0),MATCH(orders!L$1,products!$A$1:$G$1,0))</f>
        <v>36.454999999999998</v>
      </c>
      <c r="M55" s="12">
        <f t="shared" si="0"/>
        <v>72.91</v>
      </c>
      <c r="N55" s="10" t="str">
        <f t="shared" si="1"/>
        <v>Liberica</v>
      </c>
      <c r="O55" s="10" t="str">
        <f t="shared" si="2"/>
        <v>Light</v>
      </c>
      <c r="P55" s="10" t="str">
        <f>_xlfn.XLOOKUP(Tableau1[[#This Row],[Customer ID]],customers!A$2:A$1001,customers!I$2:I$1001)</f>
        <v>No</v>
      </c>
    </row>
    <row r="56" spans="1:16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9" t="str">
        <f>_xlfn.XLOOKUP(orders!C56,customers!$A$2:$A$1001,customers!$B$2:$B$1001)</f>
        <v>Archambault Gillard</v>
      </c>
      <c r="G56" s="9" t="str">
        <f>IF(_xlfn.XLOOKUP(orders!C56,customers!$A$2:$A$1001,customers!$C$2:$C$1001,,,)=0,"",_xlfn.XLOOKUP(orders!C56,customers!$A$2:$A$1001,customers!$C$2:$C$1001,,,))</f>
        <v>agillard1i@issuu.com</v>
      </c>
      <c r="H56" s="9" t="str">
        <f>_xlfn.XLOOKUP(C56,customers!$A$2:$A$1001,customers!$G$2:$G$1001,"")</f>
        <v>United States</v>
      </c>
      <c r="I56" s="10" t="str">
        <f>INDEX(products!$A$2:$G$49,MATCH(orders!$D56,products!$A$2:$A$49,0),MATCH(orders!I$1,products!$A$1:$G$1,0))</f>
        <v>Lib</v>
      </c>
      <c r="J56" s="10" t="str">
        <f>INDEX(products!$A$2:$G$49,MATCH(orders!$D56,products!$A$2:$A$49,0),MATCH(orders!J$1,products!$A$1:$G$1,0))</f>
        <v>M</v>
      </c>
      <c r="K56" s="11">
        <f>INDEX(products!$A$2:$G$49,MATCH(orders!$D56,products!$A$2:$A$49,0),MATCH(orders!K$1,products!$A$1:$G$1,0))</f>
        <v>1</v>
      </c>
      <c r="L56" s="12">
        <f>INDEX(products!$A$2:$G$49,MATCH(orders!$D56,products!$A$2:$A$49,0),MATCH(orders!L$1,products!$A$1:$G$1,0))</f>
        <v>14.55</v>
      </c>
      <c r="M56" s="12">
        <f t="shared" si="0"/>
        <v>72.75</v>
      </c>
      <c r="N56" s="10" t="str">
        <f t="shared" si="1"/>
        <v>Liberica</v>
      </c>
      <c r="O56" s="10" t="str">
        <f t="shared" si="2"/>
        <v>Medium</v>
      </c>
      <c r="P56" s="10" t="str">
        <f>_xlfn.XLOOKUP(Tableau1[[#This Row],[Customer ID]],customers!A$2:A$1001,customers!I$2:I$1001)</f>
        <v>No</v>
      </c>
    </row>
    <row r="57" spans="1:16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9" t="str">
        <f>_xlfn.XLOOKUP(orders!C57,customers!$A$2:$A$1001,customers!$B$2:$B$1001)</f>
        <v>Salomo Cushworth</v>
      </c>
      <c r="G57" s="9" t="str">
        <f>IF(_xlfn.XLOOKUP(orders!C57,customers!$A$2:$A$1001,customers!$C$2:$C$1001,,,)=0,"",_xlfn.XLOOKUP(orders!C57,customers!$A$2:$A$1001,customers!$C$2:$C$1001,,,))</f>
        <v/>
      </c>
      <c r="H57" s="9" t="str">
        <f>_xlfn.XLOOKUP(C57,customers!$A$2:$A$1001,customers!$G$2:$G$1001,"")</f>
        <v>United States</v>
      </c>
      <c r="I57" s="10" t="str">
        <f>INDEX(products!$A$2:$G$49,MATCH(orders!$D57,products!$A$2:$A$49,0),MATCH(orders!I$1,products!$A$1:$G$1,0))</f>
        <v>Lib</v>
      </c>
      <c r="J57" s="10" t="str">
        <f>INDEX(products!$A$2:$G$49,MATCH(orders!$D57,products!$A$2:$A$49,0),MATCH(orders!J$1,products!$A$1:$G$1,0))</f>
        <v>L</v>
      </c>
      <c r="K57" s="11">
        <f>INDEX(products!$A$2:$G$49,MATCH(orders!$D57,products!$A$2:$A$49,0),MATCH(orders!K$1,products!$A$1:$G$1,0))</f>
        <v>1</v>
      </c>
      <c r="L57" s="12">
        <f>INDEX(products!$A$2:$G$49,MATCH(orders!$D57,products!$A$2:$A$49,0),MATCH(orders!L$1,products!$A$1:$G$1,0))</f>
        <v>15.85</v>
      </c>
      <c r="M57" s="12">
        <f t="shared" si="0"/>
        <v>47.55</v>
      </c>
      <c r="N57" s="10" t="str">
        <f t="shared" si="1"/>
        <v>Liberica</v>
      </c>
      <c r="O57" s="10" t="str">
        <f t="shared" si="2"/>
        <v>Light</v>
      </c>
      <c r="P57" s="10" t="str">
        <f>_xlfn.XLOOKUP(Tableau1[[#This Row],[Customer ID]],customers!A$2:A$1001,customers!I$2:I$1001)</f>
        <v>No</v>
      </c>
    </row>
    <row r="58" spans="1:16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9" t="str">
        <f>_xlfn.XLOOKUP(orders!C58,customers!$A$2:$A$1001,customers!$B$2:$B$1001)</f>
        <v>Theda Grizard</v>
      </c>
      <c r="G58" s="9" t="str">
        <f>IF(_xlfn.XLOOKUP(orders!C58,customers!$A$2:$A$1001,customers!$C$2:$C$1001,,,)=0,"",_xlfn.XLOOKUP(orders!C58,customers!$A$2:$A$1001,customers!$C$2:$C$1001,,,))</f>
        <v>tgrizard1k@odnoklassniki.ru</v>
      </c>
      <c r="H58" s="9" t="str">
        <f>_xlfn.XLOOKUP(C58,customers!$A$2:$A$1001,customers!$G$2:$G$1001,"")</f>
        <v>United States</v>
      </c>
      <c r="I58" s="10" t="str">
        <f>INDEX(products!$A$2:$G$49,MATCH(orders!$D58,products!$A$2:$A$49,0),MATCH(orders!I$1,products!$A$1:$G$1,0))</f>
        <v>Exc</v>
      </c>
      <c r="J58" s="10" t="str">
        <f>INDEX(products!$A$2:$G$49,MATCH(orders!$D58,products!$A$2:$A$49,0),MATCH(orders!J$1,products!$A$1:$G$1,0))</f>
        <v>D</v>
      </c>
      <c r="K58" s="11">
        <f>INDEX(products!$A$2:$G$49,MATCH(orders!$D58,products!$A$2:$A$49,0),MATCH(orders!K$1,products!$A$1:$G$1,0))</f>
        <v>0.2</v>
      </c>
      <c r="L58" s="12">
        <f>INDEX(products!$A$2:$G$49,MATCH(orders!$D58,products!$A$2:$A$49,0),MATCH(orders!L$1,products!$A$1:$G$1,0))</f>
        <v>3.645</v>
      </c>
      <c r="M58" s="12">
        <f t="shared" si="0"/>
        <v>10.935</v>
      </c>
      <c r="N58" s="10" t="str">
        <f t="shared" si="1"/>
        <v>Excelsa</v>
      </c>
      <c r="O58" s="10" t="str">
        <f t="shared" si="2"/>
        <v>Dark</v>
      </c>
      <c r="P58" s="10" t="str">
        <f>_xlfn.XLOOKUP(Tableau1[[#This Row],[Customer ID]],customers!A$2:A$1001,customers!I$2:I$1001)</f>
        <v>Yes</v>
      </c>
    </row>
    <row r="59" spans="1:16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9" t="str">
        <f>_xlfn.XLOOKUP(orders!C59,customers!$A$2:$A$1001,customers!$B$2:$B$1001)</f>
        <v>Rozele Relton</v>
      </c>
      <c r="G59" s="9" t="str">
        <f>IF(_xlfn.XLOOKUP(orders!C59,customers!$A$2:$A$1001,customers!$C$2:$C$1001,,,)=0,"",_xlfn.XLOOKUP(orders!C59,customers!$A$2:$A$1001,customers!$C$2:$C$1001,,,))</f>
        <v>rrelton1l@stanford.edu</v>
      </c>
      <c r="H59" s="9" t="str">
        <f>_xlfn.XLOOKUP(C59,customers!$A$2:$A$1001,customers!$G$2:$G$1001,"")</f>
        <v>United States</v>
      </c>
      <c r="I59" s="10" t="str">
        <f>INDEX(products!$A$2:$G$49,MATCH(orders!$D59,products!$A$2:$A$49,0),MATCH(orders!I$1,products!$A$1:$G$1,0))</f>
        <v>Exc</v>
      </c>
      <c r="J59" s="10" t="str">
        <f>INDEX(products!$A$2:$G$49,MATCH(orders!$D59,products!$A$2:$A$49,0),MATCH(orders!J$1,products!$A$1:$G$1,0))</f>
        <v>L</v>
      </c>
      <c r="K59" s="11">
        <f>INDEX(products!$A$2:$G$49,MATCH(orders!$D59,products!$A$2:$A$49,0),MATCH(orders!K$1,products!$A$1:$G$1,0))</f>
        <v>1</v>
      </c>
      <c r="L59" s="12">
        <f>INDEX(products!$A$2:$G$49,MATCH(orders!$D59,products!$A$2:$A$49,0),MATCH(orders!L$1,products!$A$1:$G$1,0))</f>
        <v>14.85</v>
      </c>
      <c r="M59" s="12">
        <f t="shared" si="0"/>
        <v>59.4</v>
      </c>
      <c r="N59" s="10" t="str">
        <f t="shared" si="1"/>
        <v>Excelsa</v>
      </c>
      <c r="O59" s="10" t="str">
        <f t="shared" si="2"/>
        <v>Light</v>
      </c>
      <c r="P59" s="10" t="str">
        <f>_xlfn.XLOOKUP(Tableau1[[#This Row],[Customer ID]],customers!A$2:A$1001,customers!I$2:I$1001)</f>
        <v>No</v>
      </c>
    </row>
    <row r="60" spans="1:16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9" t="str">
        <f>_xlfn.XLOOKUP(orders!C60,customers!$A$2:$A$1001,customers!$B$2:$B$1001)</f>
        <v>Willa Rolling</v>
      </c>
      <c r="G60" s="9" t="str">
        <f>IF(_xlfn.XLOOKUP(orders!C60,customers!$A$2:$A$1001,customers!$C$2:$C$1001,,,)=0,"",_xlfn.XLOOKUP(orders!C60,customers!$A$2:$A$1001,customers!$C$2:$C$1001,,,))</f>
        <v/>
      </c>
      <c r="H60" s="9" t="str">
        <f>_xlfn.XLOOKUP(C60,customers!$A$2:$A$1001,customers!$G$2:$G$1001,"")</f>
        <v>United States</v>
      </c>
      <c r="I60" s="10" t="str">
        <f>INDEX(products!$A$2:$G$49,MATCH(orders!$D60,products!$A$2:$A$49,0),MATCH(orders!I$1,products!$A$1:$G$1,0))</f>
        <v>Lib</v>
      </c>
      <c r="J60" s="10" t="str">
        <f>INDEX(products!$A$2:$G$49,MATCH(orders!$D60,products!$A$2:$A$49,0),MATCH(orders!J$1,products!$A$1:$G$1,0))</f>
        <v>D</v>
      </c>
      <c r="K60" s="11">
        <f>INDEX(products!$A$2:$G$49,MATCH(orders!$D60,products!$A$2:$A$49,0),MATCH(orders!K$1,products!$A$1:$G$1,0))</f>
        <v>2.5</v>
      </c>
      <c r="L60" s="12">
        <f>INDEX(products!$A$2:$G$49,MATCH(orders!$D60,products!$A$2:$A$49,0),MATCH(orders!L$1,products!$A$1:$G$1,0))</f>
        <v>29.784999999999997</v>
      </c>
      <c r="M60" s="12">
        <f t="shared" si="0"/>
        <v>89.35499999999999</v>
      </c>
      <c r="N60" s="10" t="str">
        <f t="shared" si="1"/>
        <v>Liberica</v>
      </c>
      <c r="O60" s="10" t="str">
        <f t="shared" si="2"/>
        <v>Dark</v>
      </c>
      <c r="P60" s="10" t="str">
        <f>_xlfn.XLOOKUP(Tableau1[[#This Row],[Customer ID]],customers!A$2:A$1001,customers!I$2:I$1001)</f>
        <v>Yes</v>
      </c>
    </row>
    <row r="61" spans="1:16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9" t="str">
        <f>_xlfn.XLOOKUP(orders!C61,customers!$A$2:$A$1001,customers!$B$2:$B$1001)</f>
        <v>Stanislaus Gilroy</v>
      </c>
      <c r="G61" s="9" t="str">
        <f>IF(_xlfn.XLOOKUP(orders!C61,customers!$A$2:$A$1001,customers!$C$2:$C$1001,,,)=0,"",_xlfn.XLOOKUP(orders!C61,customers!$A$2:$A$1001,customers!$C$2:$C$1001,,,))</f>
        <v>sgilroy1n@eepurl.com</v>
      </c>
      <c r="H61" s="9" t="str">
        <f>_xlfn.XLOOKUP(C61,customers!$A$2:$A$1001,customers!$G$2:$G$1001,"")</f>
        <v>United States</v>
      </c>
      <c r="I61" s="10" t="str">
        <f>INDEX(products!$A$2:$G$49,MATCH(orders!$D61,products!$A$2:$A$49,0),MATCH(orders!I$1,products!$A$1:$G$1,0))</f>
        <v>Lib</v>
      </c>
      <c r="J61" s="10" t="str">
        <f>INDEX(products!$A$2:$G$49,MATCH(orders!$D61,products!$A$2:$A$49,0),MATCH(orders!J$1,products!$A$1:$G$1,0))</f>
        <v>M</v>
      </c>
      <c r="K61" s="11">
        <f>INDEX(products!$A$2:$G$49,MATCH(orders!$D61,products!$A$2:$A$49,0),MATCH(orders!K$1,products!$A$1:$G$1,0))</f>
        <v>0.5</v>
      </c>
      <c r="L61" s="12">
        <f>INDEX(products!$A$2:$G$49,MATCH(orders!$D61,products!$A$2:$A$49,0),MATCH(orders!L$1,products!$A$1:$G$1,0))</f>
        <v>8.73</v>
      </c>
      <c r="M61" s="12">
        <f t="shared" si="0"/>
        <v>26.19</v>
      </c>
      <c r="N61" s="10" t="str">
        <f t="shared" si="1"/>
        <v>Liberica</v>
      </c>
      <c r="O61" s="10" t="str">
        <f t="shared" si="2"/>
        <v>Medium</v>
      </c>
      <c r="P61" s="10" t="str">
        <f>_xlfn.XLOOKUP(Tableau1[[#This Row],[Customer ID]],customers!A$2:A$1001,customers!I$2:I$1001)</f>
        <v>Yes</v>
      </c>
    </row>
    <row r="62" spans="1:16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9" t="str">
        <f>_xlfn.XLOOKUP(orders!C62,customers!$A$2:$A$1001,customers!$B$2:$B$1001)</f>
        <v>Correy Cottingham</v>
      </c>
      <c r="G62" s="9" t="str">
        <f>IF(_xlfn.XLOOKUP(orders!C62,customers!$A$2:$A$1001,customers!$C$2:$C$1001,,,)=0,"",_xlfn.XLOOKUP(orders!C62,customers!$A$2:$A$1001,customers!$C$2:$C$1001,,,))</f>
        <v>ccottingham1o@wikipedia.org</v>
      </c>
      <c r="H62" s="9" t="str">
        <f>_xlfn.XLOOKUP(C62,customers!$A$2:$A$1001,customers!$G$2:$G$1001,"")</f>
        <v>United States</v>
      </c>
      <c r="I62" s="10" t="str">
        <f>INDEX(products!$A$2:$G$49,MATCH(orders!$D62,products!$A$2:$A$49,0),MATCH(orders!I$1,products!$A$1:$G$1,0))</f>
        <v>Ara</v>
      </c>
      <c r="J62" s="10" t="str">
        <f>INDEX(products!$A$2:$G$49,MATCH(orders!$D62,products!$A$2:$A$49,0),MATCH(orders!J$1,products!$A$1:$G$1,0))</f>
        <v>D</v>
      </c>
      <c r="K62" s="11">
        <f>INDEX(products!$A$2:$G$49,MATCH(orders!$D62,products!$A$2:$A$49,0),MATCH(orders!K$1,products!$A$1:$G$1,0))</f>
        <v>2.5</v>
      </c>
      <c r="L62" s="12">
        <f>INDEX(products!$A$2:$G$49,MATCH(orders!$D62,products!$A$2:$A$49,0),MATCH(orders!L$1,products!$A$1:$G$1,0))</f>
        <v>22.884999999999998</v>
      </c>
      <c r="M62" s="12">
        <f t="shared" si="0"/>
        <v>114.42499999999998</v>
      </c>
      <c r="N62" s="10" t="str">
        <f t="shared" si="1"/>
        <v>Arabica</v>
      </c>
      <c r="O62" s="10" t="str">
        <f t="shared" si="2"/>
        <v>Dark</v>
      </c>
      <c r="P62" s="10" t="str">
        <f>_xlfn.XLOOKUP(Tableau1[[#This Row],[Customer ID]],customers!A$2:A$1001,customers!I$2:I$1001)</f>
        <v>No</v>
      </c>
    </row>
    <row r="63" spans="1:16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9" t="str">
        <f>_xlfn.XLOOKUP(orders!C63,customers!$A$2:$A$1001,customers!$B$2:$B$1001)</f>
        <v>Pammi Endacott</v>
      </c>
      <c r="G63" s="9" t="str">
        <f>IF(_xlfn.XLOOKUP(orders!C63,customers!$A$2:$A$1001,customers!$C$2:$C$1001,,,)=0,"",_xlfn.XLOOKUP(orders!C63,customers!$A$2:$A$1001,customers!$C$2:$C$1001,,,))</f>
        <v/>
      </c>
      <c r="H63" s="9" t="str">
        <f>_xlfn.XLOOKUP(C63,customers!$A$2:$A$1001,customers!$G$2:$G$1001,"")</f>
        <v>United Kingdom</v>
      </c>
      <c r="I63" s="10" t="str">
        <f>INDEX(products!$A$2:$G$49,MATCH(orders!$D63,products!$A$2:$A$49,0),MATCH(orders!I$1,products!$A$1:$G$1,0))</f>
        <v>Rob</v>
      </c>
      <c r="J63" s="10" t="str">
        <f>INDEX(products!$A$2:$G$49,MATCH(orders!$D63,products!$A$2:$A$49,0),MATCH(orders!J$1,products!$A$1:$G$1,0))</f>
        <v>D</v>
      </c>
      <c r="K63" s="11">
        <f>INDEX(products!$A$2:$G$49,MATCH(orders!$D63,products!$A$2:$A$49,0),MATCH(orders!K$1,products!$A$1:$G$1,0))</f>
        <v>0.5</v>
      </c>
      <c r="L63" s="12">
        <f>INDEX(products!$A$2:$G$49,MATCH(orders!$D63,products!$A$2:$A$49,0),MATCH(orders!L$1,products!$A$1:$G$1,0))</f>
        <v>5.3699999999999992</v>
      </c>
      <c r="M63" s="12">
        <f t="shared" si="0"/>
        <v>26.849999999999994</v>
      </c>
      <c r="N63" s="10" t="str">
        <f t="shared" si="1"/>
        <v>Robusta</v>
      </c>
      <c r="O63" s="10" t="str">
        <f t="shared" si="2"/>
        <v>Dark</v>
      </c>
      <c r="P63" s="10" t="str">
        <f>_xlfn.XLOOKUP(Tableau1[[#This Row],[Customer ID]],customers!A$2:A$1001,customers!I$2:I$1001)</f>
        <v>Yes</v>
      </c>
    </row>
    <row r="64" spans="1:16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9" t="str">
        <f>_xlfn.XLOOKUP(orders!C64,customers!$A$2:$A$1001,customers!$B$2:$B$1001)</f>
        <v>Nona Linklater</v>
      </c>
      <c r="G64" s="9" t="str">
        <f>IF(_xlfn.XLOOKUP(orders!C64,customers!$A$2:$A$1001,customers!$C$2:$C$1001,,,)=0,"",_xlfn.XLOOKUP(orders!C64,customers!$A$2:$A$1001,customers!$C$2:$C$1001,,,))</f>
        <v/>
      </c>
      <c r="H64" s="9" t="str">
        <f>_xlfn.XLOOKUP(C64,customers!$A$2:$A$1001,customers!$G$2:$G$1001,"")</f>
        <v>United States</v>
      </c>
      <c r="I64" s="10" t="str">
        <f>INDEX(products!$A$2:$G$49,MATCH(orders!$D64,products!$A$2:$A$49,0),MATCH(orders!I$1,products!$A$1:$G$1,0))</f>
        <v>Lib</v>
      </c>
      <c r="J64" s="10" t="str">
        <f>INDEX(products!$A$2:$G$49,MATCH(orders!$D64,products!$A$2:$A$49,0),MATCH(orders!J$1,products!$A$1:$G$1,0))</f>
        <v>L</v>
      </c>
      <c r="K64" s="11">
        <f>INDEX(products!$A$2:$G$49,MATCH(orders!$D64,products!$A$2:$A$49,0),MATCH(orders!K$1,products!$A$1:$G$1,0))</f>
        <v>0.2</v>
      </c>
      <c r="L64" s="12">
        <f>INDEX(products!$A$2:$G$49,MATCH(orders!$D64,products!$A$2:$A$49,0),MATCH(orders!L$1,products!$A$1:$G$1,0))</f>
        <v>4.7549999999999999</v>
      </c>
      <c r="M64" s="12">
        <f t="shared" si="0"/>
        <v>23.774999999999999</v>
      </c>
      <c r="N64" s="10" t="str">
        <f t="shared" si="1"/>
        <v>Liberica</v>
      </c>
      <c r="O64" s="10" t="str">
        <f t="shared" si="2"/>
        <v>Light</v>
      </c>
      <c r="P64" s="10" t="str">
        <f>_xlfn.XLOOKUP(Tableau1[[#This Row],[Customer ID]],customers!A$2:A$1001,customers!I$2:I$1001)</f>
        <v>Yes</v>
      </c>
    </row>
    <row r="65" spans="1:16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9" t="str">
        <f>_xlfn.XLOOKUP(orders!C65,customers!$A$2:$A$1001,customers!$B$2:$B$1001)</f>
        <v>Annadiane Dykes</v>
      </c>
      <c r="G65" s="9" t="str">
        <f>IF(_xlfn.XLOOKUP(orders!C65,customers!$A$2:$A$1001,customers!$C$2:$C$1001,,,)=0,"",_xlfn.XLOOKUP(orders!C65,customers!$A$2:$A$1001,customers!$C$2:$C$1001,,,))</f>
        <v>adykes1r@eventbrite.com</v>
      </c>
      <c r="H65" s="9" t="str">
        <f>_xlfn.XLOOKUP(C65,customers!$A$2:$A$1001,customers!$G$2:$G$1001,"")</f>
        <v>United States</v>
      </c>
      <c r="I65" s="10" t="str">
        <f>INDEX(products!$A$2:$G$49,MATCH(orders!$D65,products!$A$2:$A$49,0),MATCH(orders!I$1,products!$A$1:$G$1,0))</f>
        <v>Ara</v>
      </c>
      <c r="J65" s="10" t="str">
        <f>INDEX(products!$A$2:$G$49,MATCH(orders!$D65,products!$A$2:$A$49,0),MATCH(orders!J$1,products!$A$1:$G$1,0))</f>
        <v>M</v>
      </c>
      <c r="K65" s="11">
        <f>INDEX(products!$A$2:$G$49,MATCH(orders!$D65,products!$A$2:$A$49,0),MATCH(orders!K$1,products!$A$1:$G$1,0))</f>
        <v>0.5</v>
      </c>
      <c r="L65" s="12">
        <f>INDEX(products!$A$2:$G$49,MATCH(orders!$D65,products!$A$2:$A$49,0),MATCH(orders!L$1,products!$A$1:$G$1,0))</f>
        <v>6.75</v>
      </c>
      <c r="M65" s="12">
        <f t="shared" si="0"/>
        <v>6.75</v>
      </c>
      <c r="N65" s="10" t="str">
        <f t="shared" si="1"/>
        <v>Arabica</v>
      </c>
      <c r="O65" s="10" t="str">
        <f t="shared" si="2"/>
        <v>Medium</v>
      </c>
      <c r="P65" s="10" t="str">
        <f>_xlfn.XLOOKUP(Tableau1[[#This Row],[Customer ID]],customers!A$2:A$1001,customers!I$2:I$1001)</f>
        <v>No</v>
      </c>
    </row>
    <row r="66" spans="1:16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9" t="str">
        <f>_xlfn.XLOOKUP(orders!C66,customers!$A$2:$A$1001,customers!$B$2:$B$1001)</f>
        <v>Felecia Dodgson</v>
      </c>
      <c r="G66" s="9" t="str">
        <f>IF(_xlfn.XLOOKUP(orders!C66,customers!$A$2:$A$1001,customers!$C$2:$C$1001,,,)=0,"",_xlfn.XLOOKUP(orders!C66,customers!$A$2:$A$1001,customers!$C$2:$C$1001,,,))</f>
        <v/>
      </c>
      <c r="H66" s="9" t="str">
        <f>_xlfn.XLOOKUP(C66,customers!$A$2:$A$1001,customers!$G$2:$G$1001,"")</f>
        <v>United States</v>
      </c>
      <c r="I66" s="10" t="str">
        <f>INDEX(products!$A$2:$G$49,MATCH(orders!$D66,products!$A$2:$A$49,0),MATCH(orders!I$1,products!$A$1:$G$1,0))</f>
        <v>Rob</v>
      </c>
      <c r="J66" s="10" t="str">
        <f>INDEX(products!$A$2:$G$49,MATCH(orders!$D66,products!$A$2:$A$49,0),MATCH(orders!J$1,products!$A$1:$G$1,0))</f>
        <v>M</v>
      </c>
      <c r="K66" s="11">
        <f>INDEX(products!$A$2:$G$49,MATCH(orders!$D66,products!$A$2:$A$49,0),MATCH(orders!K$1,products!$A$1:$G$1,0))</f>
        <v>0.5</v>
      </c>
      <c r="L66" s="12">
        <f>INDEX(products!$A$2:$G$49,MATCH(orders!$D66,products!$A$2:$A$49,0),MATCH(orders!L$1,products!$A$1:$G$1,0))</f>
        <v>5.97</v>
      </c>
      <c r="M66" s="12">
        <f t="shared" si="0"/>
        <v>35.82</v>
      </c>
      <c r="N66" s="10" t="str">
        <f t="shared" si="1"/>
        <v>Robusta</v>
      </c>
      <c r="O66" s="10" t="str">
        <f t="shared" si="2"/>
        <v>Medium</v>
      </c>
      <c r="P66" s="10" t="str">
        <f>_xlfn.XLOOKUP(Tableau1[[#This Row],[Customer ID]],customers!A$2:A$1001,customers!I$2:I$1001)</f>
        <v>Yes</v>
      </c>
    </row>
    <row r="67" spans="1:16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9" t="str">
        <f>_xlfn.XLOOKUP(orders!C67,customers!$A$2:$A$1001,customers!$B$2:$B$1001)</f>
        <v>Angelia Cockrem</v>
      </c>
      <c r="G67" s="9" t="str">
        <f>IF(_xlfn.XLOOKUP(orders!C67,customers!$A$2:$A$1001,customers!$C$2:$C$1001,,,)=0,"",_xlfn.XLOOKUP(orders!C67,customers!$A$2:$A$1001,customers!$C$2:$C$1001,,,))</f>
        <v>acockrem1t@engadget.com</v>
      </c>
      <c r="H67" s="9" t="str">
        <f>_xlfn.XLOOKUP(C67,customers!$A$2:$A$1001,customers!$G$2:$G$1001,"")</f>
        <v>United States</v>
      </c>
      <c r="I67" s="10" t="str">
        <f>INDEX(products!$A$2:$G$49,MATCH(orders!$D67,products!$A$2:$A$49,0),MATCH(orders!I$1,products!$A$1:$G$1,0))</f>
        <v>Rob</v>
      </c>
      <c r="J67" s="10" t="str">
        <f>INDEX(products!$A$2:$G$49,MATCH(orders!$D67,products!$A$2:$A$49,0),MATCH(orders!J$1,products!$A$1:$G$1,0))</f>
        <v>D</v>
      </c>
      <c r="K67" s="11">
        <f>INDEX(products!$A$2:$G$49,MATCH(orders!$D67,products!$A$2:$A$49,0),MATCH(orders!K$1,products!$A$1:$G$1,0))</f>
        <v>2.5</v>
      </c>
      <c r="L67" s="12">
        <f>INDEX(products!$A$2:$G$49,MATCH(orders!$D67,products!$A$2:$A$49,0),MATCH(orders!L$1,products!$A$1:$G$1,0))</f>
        <v>20.584999999999997</v>
      </c>
      <c r="M67" s="12">
        <f t="shared" ref="M67:M130" si="3">L67*E67</f>
        <v>82.339999999999989</v>
      </c>
      <c r="N67" s="10" t="str">
        <f t="shared" ref="N67:N130" si="4">IF(I67="Rob","Robusta",IF(I67="Exc","Excelsa",IF(I67="Ara","Arabica",IF(I67="Lib","Liberica"))))</f>
        <v>Robusta</v>
      </c>
      <c r="O67" s="10" t="str">
        <f t="shared" ref="O67:O130" si="5">IF(J67="M","Medium",IF(J67="L","Light",IF(J67="D","Dark")))</f>
        <v>Dark</v>
      </c>
      <c r="P67" s="10" t="str">
        <f>_xlfn.XLOOKUP(Tableau1[[#This Row],[Customer ID]],customers!A$2:A$1001,customers!I$2:I$1001)</f>
        <v>Yes</v>
      </c>
    </row>
    <row r="68" spans="1:16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9" t="str">
        <f>_xlfn.XLOOKUP(orders!C68,customers!$A$2:$A$1001,customers!$B$2:$B$1001)</f>
        <v>Belvia Umpleby</v>
      </c>
      <c r="G68" s="9" t="str">
        <f>IF(_xlfn.XLOOKUP(orders!C68,customers!$A$2:$A$1001,customers!$C$2:$C$1001,,,)=0,"",_xlfn.XLOOKUP(orders!C68,customers!$A$2:$A$1001,customers!$C$2:$C$1001,,,))</f>
        <v>bumpleby1u@soundcloud.com</v>
      </c>
      <c r="H68" s="9" t="str">
        <f>_xlfn.XLOOKUP(C68,customers!$A$2:$A$1001,customers!$G$2:$G$1001,"")</f>
        <v>United States</v>
      </c>
      <c r="I68" s="10" t="str">
        <f>INDEX(products!$A$2:$G$49,MATCH(orders!$D68,products!$A$2:$A$49,0),MATCH(orders!I$1,products!$A$1:$G$1,0))</f>
        <v>Rob</v>
      </c>
      <c r="J68" s="10" t="str">
        <f>INDEX(products!$A$2:$G$49,MATCH(orders!$D68,products!$A$2:$A$49,0),MATCH(orders!J$1,products!$A$1:$G$1,0))</f>
        <v>L</v>
      </c>
      <c r="K68" s="11">
        <f>INDEX(products!$A$2:$G$49,MATCH(orders!$D68,products!$A$2:$A$49,0),MATCH(orders!K$1,products!$A$1:$G$1,0))</f>
        <v>0.5</v>
      </c>
      <c r="L68" s="12">
        <f>INDEX(products!$A$2:$G$49,MATCH(orders!$D68,products!$A$2:$A$49,0),MATCH(orders!L$1,products!$A$1:$G$1,0))</f>
        <v>7.169999999999999</v>
      </c>
      <c r="M68" s="12">
        <f t="shared" si="3"/>
        <v>7.169999999999999</v>
      </c>
      <c r="N68" s="10" t="str">
        <f t="shared" si="4"/>
        <v>Robusta</v>
      </c>
      <c r="O68" s="10" t="str">
        <f t="shared" si="5"/>
        <v>Light</v>
      </c>
      <c r="P68" s="10" t="str">
        <f>_xlfn.XLOOKUP(Tableau1[[#This Row],[Customer ID]],customers!A$2:A$1001,customers!I$2:I$1001)</f>
        <v>Yes</v>
      </c>
    </row>
    <row r="69" spans="1:16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9" t="str">
        <f>_xlfn.XLOOKUP(orders!C69,customers!$A$2:$A$1001,customers!$B$2:$B$1001)</f>
        <v>Nat Saleway</v>
      </c>
      <c r="G69" s="9" t="str">
        <f>IF(_xlfn.XLOOKUP(orders!C69,customers!$A$2:$A$1001,customers!$C$2:$C$1001,,,)=0,"",_xlfn.XLOOKUP(orders!C69,customers!$A$2:$A$1001,customers!$C$2:$C$1001,,,))</f>
        <v>nsaleway1v@dedecms.com</v>
      </c>
      <c r="H69" s="9" t="str">
        <f>_xlfn.XLOOKUP(C69,customers!$A$2:$A$1001,customers!$G$2:$G$1001,"")</f>
        <v>United States</v>
      </c>
      <c r="I69" s="10" t="str">
        <f>INDEX(products!$A$2:$G$49,MATCH(orders!$D69,products!$A$2:$A$49,0),MATCH(orders!I$1,products!$A$1:$G$1,0))</f>
        <v>Lib</v>
      </c>
      <c r="J69" s="10" t="str">
        <f>INDEX(products!$A$2:$G$49,MATCH(orders!$D69,products!$A$2:$A$49,0),MATCH(orders!J$1,products!$A$1:$G$1,0))</f>
        <v>L</v>
      </c>
      <c r="K69" s="11">
        <f>INDEX(products!$A$2:$G$49,MATCH(orders!$D69,products!$A$2:$A$49,0),MATCH(orders!K$1,products!$A$1:$G$1,0))</f>
        <v>0.2</v>
      </c>
      <c r="L69" s="12">
        <f>INDEX(products!$A$2:$G$49,MATCH(orders!$D69,products!$A$2:$A$49,0),MATCH(orders!L$1,products!$A$1:$G$1,0))</f>
        <v>4.7549999999999999</v>
      </c>
      <c r="M69" s="12">
        <f t="shared" si="3"/>
        <v>9.51</v>
      </c>
      <c r="N69" s="10" t="str">
        <f t="shared" si="4"/>
        <v>Liberica</v>
      </c>
      <c r="O69" s="10" t="str">
        <f t="shared" si="5"/>
        <v>Light</v>
      </c>
      <c r="P69" s="10" t="str">
        <f>_xlfn.XLOOKUP(Tableau1[[#This Row],[Customer ID]],customers!A$2:A$1001,customers!I$2:I$1001)</f>
        <v>No</v>
      </c>
    </row>
    <row r="70" spans="1:16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9" t="str">
        <f>_xlfn.XLOOKUP(orders!C70,customers!$A$2:$A$1001,customers!$B$2:$B$1001)</f>
        <v>Hayward Goulter</v>
      </c>
      <c r="G70" s="9" t="str">
        <f>IF(_xlfn.XLOOKUP(orders!C70,customers!$A$2:$A$1001,customers!$C$2:$C$1001,,,)=0,"",_xlfn.XLOOKUP(orders!C70,customers!$A$2:$A$1001,customers!$C$2:$C$1001,,,))</f>
        <v>hgoulter1w@abc.net.au</v>
      </c>
      <c r="H70" s="9" t="str">
        <f>_xlfn.XLOOKUP(C70,customers!$A$2:$A$1001,customers!$G$2:$G$1001,"")</f>
        <v>United States</v>
      </c>
      <c r="I70" s="10" t="str">
        <f>INDEX(products!$A$2:$G$49,MATCH(orders!$D70,products!$A$2:$A$49,0),MATCH(orders!I$1,products!$A$1:$G$1,0))</f>
        <v>Rob</v>
      </c>
      <c r="J70" s="10" t="str">
        <f>INDEX(products!$A$2:$G$49,MATCH(orders!$D70,products!$A$2:$A$49,0),MATCH(orders!J$1,products!$A$1:$G$1,0))</f>
        <v>M</v>
      </c>
      <c r="K70" s="11">
        <f>INDEX(products!$A$2:$G$49,MATCH(orders!$D70,products!$A$2:$A$49,0),MATCH(orders!K$1,products!$A$1:$G$1,0))</f>
        <v>0.2</v>
      </c>
      <c r="L70" s="12">
        <f>INDEX(products!$A$2:$G$49,MATCH(orders!$D70,products!$A$2:$A$49,0),MATCH(orders!L$1,products!$A$1:$G$1,0))</f>
        <v>2.9849999999999999</v>
      </c>
      <c r="M70" s="12">
        <f t="shared" si="3"/>
        <v>2.9849999999999999</v>
      </c>
      <c r="N70" s="10" t="str">
        <f t="shared" si="4"/>
        <v>Robusta</v>
      </c>
      <c r="O70" s="10" t="str">
        <f t="shared" si="5"/>
        <v>Medium</v>
      </c>
      <c r="P70" s="10" t="str">
        <f>_xlfn.XLOOKUP(Tableau1[[#This Row],[Customer ID]],customers!A$2:A$1001,customers!I$2:I$1001)</f>
        <v>No</v>
      </c>
    </row>
    <row r="71" spans="1:16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9" t="str">
        <f>_xlfn.XLOOKUP(orders!C71,customers!$A$2:$A$1001,customers!$B$2:$B$1001)</f>
        <v>Gay Rizzello</v>
      </c>
      <c r="G71" s="9" t="str">
        <f>IF(_xlfn.XLOOKUP(orders!C71,customers!$A$2:$A$1001,customers!$C$2:$C$1001,,,)=0,"",_xlfn.XLOOKUP(orders!C71,customers!$A$2:$A$1001,customers!$C$2:$C$1001,,,))</f>
        <v>grizzello1x@symantec.com</v>
      </c>
      <c r="H71" s="9" t="str">
        <f>_xlfn.XLOOKUP(C71,customers!$A$2:$A$1001,customers!$G$2:$G$1001,"")</f>
        <v>United Kingdom</v>
      </c>
      <c r="I71" s="10" t="str">
        <f>INDEX(products!$A$2:$G$49,MATCH(orders!$D71,products!$A$2:$A$49,0),MATCH(orders!I$1,products!$A$1:$G$1,0))</f>
        <v>Rob</v>
      </c>
      <c r="J71" s="10" t="str">
        <f>INDEX(products!$A$2:$G$49,MATCH(orders!$D71,products!$A$2:$A$49,0),MATCH(orders!J$1,products!$A$1:$G$1,0))</f>
        <v>M</v>
      </c>
      <c r="K71" s="11">
        <f>INDEX(products!$A$2:$G$49,MATCH(orders!$D71,products!$A$2:$A$49,0),MATCH(orders!K$1,products!$A$1:$G$1,0))</f>
        <v>1</v>
      </c>
      <c r="L71" s="12">
        <f>INDEX(products!$A$2:$G$49,MATCH(orders!$D71,products!$A$2:$A$49,0),MATCH(orders!L$1,products!$A$1:$G$1,0))</f>
        <v>9.9499999999999993</v>
      </c>
      <c r="M71" s="12">
        <f t="shared" si="3"/>
        <v>59.699999999999996</v>
      </c>
      <c r="N71" s="10" t="str">
        <f t="shared" si="4"/>
        <v>Robusta</v>
      </c>
      <c r="O71" s="10" t="str">
        <f t="shared" si="5"/>
        <v>Medium</v>
      </c>
      <c r="P71" s="10" t="str">
        <f>_xlfn.XLOOKUP(Tableau1[[#This Row],[Customer ID]],customers!A$2:A$1001,customers!I$2:I$1001)</f>
        <v>Yes</v>
      </c>
    </row>
    <row r="72" spans="1:16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9" t="str">
        <f>_xlfn.XLOOKUP(orders!C72,customers!$A$2:$A$1001,customers!$B$2:$B$1001)</f>
        <v>Shannon List</v>
      </c>
      <c r="G72" s="9" t="str">
        <f>IF(_xlfn.XLOOKUP(orders!C72,customers!$A$2:$A$1001,customers!$C$2:$C$1001,,,)=0,"",_xlfn.XLOOKUP(orders!C72,customers!$A$2:$A$1001,customers!$C$2:$C$1001,,,))</f>
        <v>slist1y@mapquest.com</v>
      </c>
      <c r="H72" s="9" t="str">
        <f>_xlfn.XLOOKUP(C72,customers!$A$2:$A$1001,customers!$G$2:$G$1001,"")</f>
        <v>United States</v>
      </c>
      <c r="I72" s="10" t="str">
        <f>INDEX(products!$A$2:$G$49,MATCH(orders!$D72,products!$A$2:$A$49,0),MATCH(orders!I$1,products!$A$1:$G$1,0))</f>
        <v>Exc</v>
      </c>
      <c r="J72" s="10" t="str">
        <f>INDEX(products!$A$2:$G$49,MATCH(orders!$D72,products!$A$2:$A$49,0),MATCH(orders!J$1,products!$A$1:$G$1,0))</f>
        <v>L</v>
      </c>
      <c r="K72" s="11">
        <f>INDEX(products!$A$2:$G$49,MATCH(orders!$D72,products!$A$2:$A$49,0),MATCH(orders!K$1,products!$A$1:$G$1,0))</f>
        <v>2.5</v>
      </c>
      <c r="L72" s="12">
        <f>INDEX(products!$A$2:$G$49,MATCH(orders!$D72,products!$A$2:$A$49,0),MATCH(orders!L$1,products!$A$1:$G$1,0))</f>
        <v>34.154999999999994</v>
      </c>
      <c r="M72" s="12">
        <f t="shared" si="3"/>
        <v>136.61999999999998</v>
      </c>
      <c r="N72" s="10" t="str">
        <f t="shared" si="4"/>
        <v>Excelsa</v>
      </c>
      <c r="O72" s="10" t="str">
        <f t="shared" si="5"/>
        <v>Light</v>
      </c>
      <c r="P72" s="10" t="str">
        <f>_xlfn.XLOOKUP(Tableau1[[#This Row],[Customer ID]],customers!A$2:A$1001,customers!I$2:I$1001)</f>
        <v>No</v>
      </c>
    </row>
    <row r="73" spans="1:16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9" t="str">
        <f>_xlfn.XLOOKUP(orders!C73,customers!$A$2:$A$1001,customers!$B$2:$B$1001)</f>
        <v>Shirlene Edmondson</v>
      </c>
      <c r="G73" s="9" t="str">
        <f>IF(_xlfn.XLOOKUP(orders!C73,customers!$A$2:$A$1001,customers!$C$2:$C$1001,,,)=0,"",_xlfn.XLOOKUP(orders!C73,customers!$A$2:$A$1001,customers!$C$2:$C$1001,,,))</f>
        <v>sedmondson1z@theguardian.com</v>
      </c>
      <c r="H73" s="9" t="str">
        <f>_xlfn.XLOOKUP(C73,customers!$A$2:$A$1001,customers!$G$2:$G$1001,"")</f>
        <v>Ireland</v>
      </c>
      <c r="I73" s="10" t="str">
        <f>INDEX(products!$A$2:$G$49,MATCH(orders!$D73,products!$A$2:$A$49,0),MATCH(orders!I$1,products!$A$1:$G$1,0))</f>
        <v>Lib</v>
      </c>
      <c r="J73" s="10" t="str">
        <f>INDEX(products!$A$2:$G$49,MATCH(orders!$D73,products!$A$2:$A$49,0),MATCH(orders!J$1,products!$A$1:$G$1,0))</f>
        <v>L</v>
      </c>
      <c r="K73" s="11">
        <f>INDEX(products!$A$2:$G$49,MATCH(orders!$D73,products!$A$2:$A$49,0),MATCH(orders!K$1,products!$A$1:$G$1,0))</f>
        <v>0.2</v>
      </c>
      <c r="L73" s="12">
        <f>INDEX(products!$A$2:$G$49,MATCH(orders!$D73,products!$A$2:$A$49,0),MATCH(orders!L$1,products!$A$1:$G$1,0))</f>
        <v>4.7549999999999999</v>
      </c>
      <c r="M73" s="12">
        <f t="shared" si="3"/>
        <v>9.51</v>
      </c>
      <c r="N73" s="10" t="str">
        <f t="shared" si="4"/>
        <v>Liberica</v>
      </c>
      <c r="O73" s="10" t="str">
        <f t="shared" si="5"/>
        <v>Light</v>
      </c>
      <c r="P73" s="10" t="str">
        <f>_xlfn.XLOOKUP(Tableau1[[#This Row],[Customer ID]],customers!A$2:A$1001,customers!I$2:I$1001)</f>
        <v>No</v>
      </c>
    </row>
    <row r="74" spans="1:16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9" t="str">
        <f>_xlfn.XLOOKUP(orders!C74,customers!$A$2:$A$1001,customers!$B$2:$B$1001)</f>
        <v>Aurlie McCarl</v>
      </c>
      <c r="G74" s="9" t="str">
        <f>IF(_xlfn.XLOOKUP(orders!C74,customers!$A$2:$A$1001,customers!$C$2:$C$1001,,,)=0,"",_xlfn.XLOOKUP(orders!C74,customers!$A$2:$A$1001,customers!$C$2:$C$1001,,,))</f>
        <v/>
      </c>
      <c r="H74" s="9" t="str">
        <f>_xlfn.XLOOKUP(C74,customers!$A$2:$A$1001,customers!$G$2:$G$1001,"")</f>
        <v>United States</v>
      </c>
      <c r="I74" s="10" t="str">
        <f>INDEX(products!$A$2:$G$49,MATCH(orders!$D74,products!$A$2:$A$49,0),MATCH(orders!I$1,products!$A$1:$G$1,0))</f>
        <v>Ara</v>
      </c>
      <c r="J74" s="10" t="str">
        <f>INDEX(products!$A$2:$G$49,MATCH(orders!$D74,products!$A$2:$A$49,0),MATCH(orders!J$1,products!$A$1:$G$1,0))</f>
        <v>M</v>
      </c>
      <c r="K74" s="11">
        <f>INDEX(products!$A$2:$G$49,MATCH(orders!$D74,products!$A$2:$A$49,0),MATCH(orders!K$1,products!$A$1:$G$1,0))</f>
        <v>2.5</v>
      </c>
      <c r="L74" s="12">
        <f>INDEX(products!$A$2:$G$49,MATCH(orders!$D74,products!$A$2:$A$49,0),MATCH(orders!L$1,products!$A$1:$G$1,0))</f>
        <v>25.874999999999996</v>
      </c>
      <c r="M74" s="12">
        <f t="shared" si="3"/>
        <v>77.624999999999986</v>
      </c>
      <c r="N74" s="10" t="str">
        <f t="shared" si="4"/>
        <v>Arabica</v>
      </c>
      <c r="O74" s="10" t="str">
        <f t="shared" si="5"/>
        <v>Medium</v>
      </c>
      <c r="P74" s="10" t="str">
        <f>_xlfn.XLOOKUP(Tableau1[[#This Row],[Customer ID]],customers!A$2:A$1001,customers!I$2:I$1001)</f>
        <v>No</v>
      </c>
    </row>
    <row r="75" spans="1:16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9" t="str">
        <f>_xlfn.XLOOKUP(orders!C75,customers!$A$2:$A$1001,customers!$B$2:$B$1001)</f>
        <v>Alikee Carryer</v>
      </c>
      <c r="G75" s="9" t="str">
        <f>IF(_xlfn.XLOOKUP(orders!C75,customers!$A$2:$A$1001,customers!$C$2:$C$1001,,,)=0,"",_xlfn.XLOOKUP(orders!C75,customers!$A$2:$A$1001,customers!$C$2:$C$1001,,,))</f>
        <v/>
      </c>
      <c r="H75" s="9" t="str">
        <f>_xlfn.XLOOKUP(C75,customers!$A$2:$A$1001,customers!$G$2:$G$1001,"")</f>
        <v>United States</v>
      </c>
      <c r="I75" s="10" t="str">
        <f>INDEX(products!$A$2:$G$49,MATCH(orders!$D75,products!$A$2:$A$49,0),MATCH(orders!I$1,products!$A$1:$G$1,0))</f>
        <v>Lib</v>
      </c>
      <c r="J75" s="10" t="str">
        <f>INDEX(products!$A$2:$G$49,MATCH(orders!$D75,products!$A$2:$A$49,0),MATCH(orders!J$1,products!$A$1:$G$1,0))</f>
        <v>M</v>
      </c>
      <c r="K75" s="11">
        <f>INDEX(products!$A$2:$G$49,MATCH(orders!$D75,products!$A$2:$A$49,0),MATCH(orders!K$1,products!$A$1:$G$1,0))</f>
        <v>0.2</v>
      </c>
      <c r="L75" s="12">
        <f>INDEX(products!$A$2:$G$49,MATCH(orders!$D75,products!$A$2:$A$49,0),MATCH(orders!L$1,products!$A$1:$G$1,0))</f>
        <v>4.3650000000000002</v>
      </c>
      <c r="M75" s="12">
        <f t="shared" si="3"/>
        <v>21.825000000000003</v>
      </c>
      <c r="N75" s="10" t="str">
        <f t="shared" si="4"/>
        <v>Liberica</v>
      </c>
      <c r="O75" s="10" t="str">
        <f t="shared" si="5"/>
        <v>Medium</v>
      </c>
      <c r="P75" s="10" t="str">
        <f>_xlfn.XLOOKUP(Tableau1[[#This Row],[Customer ID]],customers!A$2:A$1001,customers!I$2:I$1001)</f>
        <v>Yes</v>
      </c>
    </row>
    <row r="76" spans="1:16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9" t="str">
        <f>_xlfn.XLOOKUP(orders!C76,customers!$A$2:$A$1001,customers!$B$2:$B$1001)</f>
        <v>Jennifer Rangall</v>
      </c>
      <c r="G76" s="9" t="str">
        <f>IF(_xlfn.XLOOKUP(orders!C76,customers!$A$2:$A$1001,customers!$C$2:$C$1001,,,)=0,"",_xlfn.XLOOKUP(orders!C76,customers!$A$2:$A$1001,customers!$C$2:$C$1001,,,))</f>
        <v>jrangall22@newsvine.com</v>
      </c>
      <c r="H76" s="9" t="str">
        <f>_xlfn.XLOOKUP(C76,customers!$A$2:$A$1001,customers!$G$2:$G$1001,"")</f>
        <v>United States</v>
      </c>
      <c r="I76" s="10" t="str">
        <f>INDEX(products!$A$2:$G$49,MATCH(orders!$D76,products!$A$2:$A$49,0),MATCH(orders!I$1,products!$A$1:$G$1,0))</f>
        <v>Exc</v>
      </c>
      <c r="J76" s="10" t="str">
        <f>INDEX(products!$A$2:$G$49,MATCH(orders!$D76,products!$A$2:$A$49,0),MATCH(orders!J$1,products!$A$1:$G$1,0))</f>
        <v>L</v>
      </c>
      <c r="K76" s="11">
        <f>INDEX(products!$A$2:$G$49,MATCH(orders!$D76,products!$A$2:$A$49,0),MATCH(orders!K$1,products!$A$1:$G$1,0))</f>
        <v>0.5</v>
      </c>
      <c r="L76" s="12">
        <f>INDEX(products!$A$2:$G$49,MATCH(orders!$D76,products!$A$2:$A$49,0),MATCH(orders!L$1,products!$A$1:$G$1,0))</f>
        <v>8.91</v>
      </c>
      <c r="M76" s="12">
        <f t="shared" si="3"/>
        <v>17.82</v>
      </c>
      <c r="N76" s="10" t="str">
        <f t="shared" si="4"/>
        <v>Excelsa</v>
      </c>
      <c r="O76" s="10" t="str">
        <f t="shared" si="5"/>
        <v>Light</v>
      </c>
      <c r="P76" s="10" t="str">
        <f>_xlfn.XLOOKUP(Tableau1[[#This Row],[Customer ID]],customers!A$2:A$1001,customers!I$2:I$1001)</f>
        <v>Yes</v>
      </c>
    </row>
    <row r="77" spans="1:16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9" t="str">
        <f>_xlfn.XLOOKUP(orders!C77,customers!$A$2:$A$1001,customers!$B$2:$B$1001)</f>
        <v>Kipper Boorn</v>
      </c>
      <c r="G77" s="9" t="str">
        <f>IF(_xlfn.XLOOKUP(orders!C77,customers!$A$2:$A$1001,customers!$C$2:$C$1001,,,)=0,"",_xlfn.XLOOKUP(orders!C77,customers!$A$2:$A$1001,customers!$C$2:$C$1001,,,))</f>
        <v>kboorn23@ezinearticles.com</v>
      </c>
      <c r="H77" s="9" t="str">
        <f>_xlfn.XLOOKUP(C77,customers!$A$2:$A$1001,customers!$G$2:$G$1001,"")</f>
        <v>Ireland</v>
      </c>
      <c r="I77" s="10" t="str">
        <f>INDEX(products!$A$2:$G$49,MATCH(orders!$D77,products!$A$2:$A$49,0),MATCH(orders!I$1,products!$A$1:$G$1,0))</f>
        <v>Rob</v>
      </c>
      <c r="J77" s="10" t="str">
        <f>INDEX(products!$A$2:$G$49,MATCH(orders!$D77,products!$A$2:$A$49,0),MATCH(orders!J$1,products!$A$1:$G$1,0))</f>
        <v>D</v>
      </c>
      <c r="K77" s="11">
        <f>INDEX(products!$A$2:$G$49,MATCH(orders!$D77,products!$A$2:$A$49,0),MATCH(orders!K$1,products!$A$1:$G$1,0))</f>
        <v>1</v>
      </c>
      <c r="L77" s="12">
        <f>INDEX(products!$A$2:$G$49,MATCH(orders!$D77,products!$A$2:$A$49,0),MATCH(orders!L$1,products!$A$1:$G$1,0))</f>
        <v>8.9499999999999993</v>
      </c>
      <c r="M77" s="12">
        <f t="shared" si="3"/>
        <v>53.699999999999996</v>
      </c>
      <c r="N77" s="10" t="str">
        <f t="shared" si="4"/>
        <v>Robusta</v>
      </c>
      <c r="O77" s="10" t="str">
        <f t="shared" si="5"/>
        <v>Dark</v>
      </c>
      <c r="P77" s="10" t="str">
        <f>_xlfn.XLOOKUP(Tableau1[[#This Row],[Customer ID]],customers!A$2:A$1001,customers!I$2:I$1001)</f>
        <v>Yes</v>
      </c>
    </row>
    <row r="78" spans="1:16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9" t="str">
        <f>_xlfn.XLOOKUP(orders!C78,customers!$A$2:$A$1001,customers!$B$2:$B$1001)</f>
        <v>Melania Beadle</v>
      </c>
      <c r="G78" s="9" t="str">
        <f>IF(_xlfn.XLOOKUP(orders!C78,customers!$A$2:$A$1001,customers!$C$2:$C$1001,,,)=0,"",_xlfn.XLOOKUP(orders!C78,customers!$A$2:$A$1001,customers!$C$2:$C$1001,,,))</f>
        <v/>
      </c>
      <c r="H78" s="9" t="str">
        <f>_xlfn.XLOOKUP(C78,customers!$A$2:$A$1001,customers!$G$2:$G$1001,"")</f>
        <v>Ireland</v>
      </c>
      <c r="I78" s="10" t="str">
        <f>INDEX(products!$A$2:$G$49,MATCH(orders!$D78,products!$A$2:$A$49,0),MATCH(orders!I$1,products!$A$1:$G$1,0))</f>
        <v>Rob</v>
      </c>
      <c r="J78" s="10" t="str">
        <f>INDEX(products!$A$2:$G$49,MATCH(orders!$D78,products!$A$2:$A$49,0),MATCH(orders!J$1,products!$A$1:$G$1,0))</f>
        <v>L</v>
      </c>
      <c r="K78" s="11">
        <f>INDEX(products!$A$2:$G$49,MATCH(orders!$D78,products!$A$2:$A$49,0),MATCH(orders!K$1,products!$A$1:$G$1,0))</f>
        <v>0.2</v>
      </c>
      <c r="L78" s="12">
        <f>INDEX(products!$A$2:$G$49,MATCH(orders!$D78,products!$A$2:$A$49,0),MATCH(orders!L$1,products!$A$1:$G$1,0))</f>
        <v>3.5849999999999995</v>
      </c>
      <c r="M78" s="12">
        <f t="shared" si="3"/>
        <v>3.5849999999999995</v>
      </c>
      <c r="N78" s="10" t="str">
        <f t="shared" si="4"/>
        <v>Robusta</v>
      </c>
      <c r="O78" s="10" t="str">
        <f t="shared" si="5"/>
        <v>Light</v>
      </c>
      <c r="P78" s="10" t="str">
        <f>_xlfn.XLOOKUP(Tableau1[[#This Row],[Customer ID]],customers!A$2:A$1001,customers!I$2:I$1001)</f>
        <v>Yes</v>
      </c>
    </row>
    <row r="79" spans="1:16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9" t="str">
        <f>_xlfn.XLOOKUP(orders!C79,customers!$A$2:$A$1001,customers!$B$2:$B$1001)</f>
        <v>Colene Elgey</v>
      </c>
      <c r="G79" s="9" t="str">
        <f>IF(_xlfn.XLOOKUP(orders!C79,customers!$A$2:$A$1001,customers!$C$2:$C$1001,,,)=0,"",_xlfn.XLOOKUP(orders!C79,customers!$A$2:$A$1001,customers!$C$2:$C$1001,,,))</f>
        <v>celgey25@webs.com</v>
      </c>
      <c r="H79" s="9" t="str">
        <f>_xlfn.XLOOKUP(C79,customers!$A$2:$A$1001,customers!$G$2:$G$1001,"")</f>
        <v>United States</v>
      </c>
      <c r="I79" s="10" t="str">
        <f>INDEX(products!$A$2:$G$49,MATCH(orders!$D79,products!$A$2:$A$49,0),MATCH(orders!I$1,products!$A$1:$G$1,0))</f>
        <v>Exc</v>
      </c>
      <c r="J79" s="10" t="str">
        <f>INDEX(products!$A$2:$G$49,MATCH(orders!$D79,products!$A$2:$A$49,0),MATCH(orders!J$1,products!$A$1:$G$1,0))</f>
        <v>D</v>
      </c>
      <c r="K79" s="11">
        <f>INDEX(products!$A$2:$G$49,MATCH(orders!$D79,products!$A$2:$A$49,0),MATCH(orders!K$1,products!$A$1:$G$1,0))</f>
        <v>0.2</v>
      </c>
      <c r="L79" s="12">
        <f>INDEX(products!$A$2:$G$49,MATCH(orders!$D79,products!$A$2:$A$49,0),MATCH(orders!L$1,products!$A$1:$G$1,0))</f>
        <v>3.645</v>
      </c>
      <c r="M79" s="12">
        <f t="shared" si="3"/>
        <v>7.29</v>
      </c>
      <c r="N79" s="10" t="str">
        <f t="shared" si="4"/>
        <v>Excelsa</v>
      </c>
      <c r="O79" s="10" t="str">
        <f t="shared" si="5"/>
        <v>Dark</v>
      </c>
      <c r="P79" s="10" t="str">
        <f>_xlfn.XLOOKUP(Tableau1[[#This Row],[Customer ID]],customers!A$2:A$1001,customers!I$2:I$1001)</f>
        <v>No</v>
      </c>
    </row>
    <row r="80" spans="1:16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9" t="str">
        <f>_xlfn.XLOOKUP(orders!C80,customers!$A$2:$A$1001,customers!$B$2:$B$1001)</f>
        <v>Lothaire Mizzi</v>
      </c>
      <c r="G80" s="9" t="str">
        <f>IF(_xlfn.XLOOKUP(orders!C80,customers!$A$2:$A$1001,customers!$C$2:$C$1001,,,)=0,"",_xlfn.XLOOKUP(orders!C80,customers!$A$2:$A$1001,customers!$C$2:$C$1001,,,))</f>
        <v>lmizzi26@rakuten.co.jp</v>
      </c>
      <c r="H80" s="9" t="str">
        <f>_xlfn.XLOOKUP(C80,customers!$A$2:$A$1001,customers!$G$2:$G$1001,"")</f>
        <v>United States</v>
      </c>
      <c r="I80" s="10" t="str">
        <f>INDEX(products!$A$2:$G$49,MATCH(orders!$D80,products!$A$2:$A$49,0),MATCH(orders!I$1,products!$A$1:$G$1,0))</f>
        <v>Ara</v>
      </c>
      <c r="J80" s="10" t="str">
        <f>INDEX(products!$A$2:$G$49,MATCH(orders!$D80,products!$A$2:$A$49,0),MATCH(orders!J$1,products!$A$1:$G$1,0))</f>
        <v>M</v>
      </c>
      <c r="K80" s="11">
        <f>INDEX(products!$A$2:$G$49,MATCH(orders!$D80,products!$A$2:$A$49,0),MATCH(orders!K$1,products!$A$1:$G$1,0))</f>
        <v>0.5</v>
      </c>
      <c r="L80" s="12">
        <f>INDEX(products!$A$2:$G$49,MATCH(orders!$D80,products!$A$2:$A$49,0),MATCH(orders!L$1,products!$A$1:$G$1,0))</f>
        <v>6.75</v>
      </c>
      <c r="M80" s="12">
        <f t="shared" si="3"/>
        <v>40.5</v>
      </c>
      <c r="N80" s="10" t="str">
        <f t="shared" si="4"/>
        <v>Arabica</v>
      </c>
      <c r="O80" s="10" t="str">
        <f t="shared" si="5"/>
        <v>Medium</v>
      </c>
      <c r="P80" s="10" t="str">
        <f>_xlfn.XLOOKUP(Tableau1[[#This Row],[Customer ID]],customers!A$2:A$1001,customers!I$2:I$1001)</f>
        <v>Yes</v>
      </c>
    </row>
    <row r="81" spans="1:16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9" t="str">
        <f>_xlfn.XLOOKUP(orders!C81,customers!$A$2:$A$1001,customers!$B$2:$B$1001)</f>
        <v>Cletis Giacomazzo</v>
      </c>
      <c r="G81" s="9" t="str">
        <f>IF(_xlfn.XLOOKUP(orders!C81,customers!$A$2:$A$1001,customers!$C$2:$C$1001,,,)=0,"",_xlfn.XLOOKUP(orders!C81,customers!$A$2:$A$1001,customers!$C$2:$C$1001,,,))</f>
        <v>cgiacomazzo27@jigsy.com</v>
      </c>
      <c r="H81" s="9" t="str">
        <f>_xlfn.XLOOKUP(C81,customers!$A$2:$A$1001,customers!$G$2:$G$1001,"")</f>
        <v>United States</v>
      </c>
      <c r="I81" s="10" t="str">
        <f>INDEX(products!$A$2:$G$49,MATCH(orders!$D81,products!$A$2:$A$49,0),MATCH(orders!I$1,products!$A$1:$G$1,0))</f>
        <v>Rob</v>
      </c>
      <c r="J81" s="10" t="str">
        <f>INDEX(products!$A$2:$G$49,MATCH(orders!$D81,products!$A$2:$A$49,0),MATCH(orders!J$1,products!$A$1:$G$1,0))</f>
        <v>L</v>
      </c>
      <c r="K81" s="11">
        <f>INDEX(products!$A$2:$G$49,MATCH(orders!$D81,products!$A$2:$A$49,0),MATCH(orders!K$1,products!$A$1:$G$1,0))</f>
        <v>1</v>
      </c>
      <c r="L81" s="12">
        <f>INDEX(products!$A$2:$G$49,MATCH(orders!$D81,products!$A$2:$A$49,0),MATCH(orders!L$1,products!$A$1:$G$1,0))</f>
        <v>11.95</v>
      </c>
      <c r="M81" s="12">
        <f t="shared" si="3"/>
        <v>47.8</v>
      </c>
      <c r="N81" s="10" t="str">
        <f t="shared" si="4"/>
        <v>Robusta</v>
      </c>
      <c r="O81" s="10" t="str">
        <f t="shared" si="5"/>
        <v>Light</v>
      </c>
      <c r="P81" s="10" t="str">
        <f>_xlfn.XLOOKUP(Tableau1[[#This Row],[Customer ID]],customers!A$2:A$1001,customers!I$2:I$1001)</f>
        <v>No</v>
      </c>
    </row>
    <row r="82" spans="1:16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9" t="str">
        <f>_xlfn.XLOOKUP(orders!C82,customers!$A$2:$A$1001,customers!$B$2:$B$1001)</f>
        <v>Ami Arnow</v>
      </c>
      <c r="G82" s="9" t="str">
        <f>IF(_xlfn.XLOOKUP(orders!C82,customers!$A$2:$A$1001,customers!$C$2:$C$1001,,,)=0,"",_xlfn.XLOOKUP(orders!C82,customers!$A$2:$A$1001,customers!$C$2:$C$1001,,,))</f>
        <v>aarnow28@arizona.edu</v>
      </c>
      <c r="H82" s="9" t="str">
        <f>_xlfn.XLOOKUP(C82,customers!$A$2:$A$1001,customers!$G$2:$G$1001,"")</f>
        <v>United States</v>
      </c>
      <c r="I82" s="10" t="str">
        <f>INDEX(products!$A$2:$G$49,MATCH(orders!$D82,products!$A$2:$A$49,0),MATCH(orders!I$1,products!$A$1:$G$1,0))</f>
        <v>Ara</v>
      </c>
      <c r="J82" s="10" t="str">
        <f>INDEX(products!$A$2:$G$49,MATCH(orders!$D82,products!$A$2:$A$49,0),MATCH(orders!J$1,products!$A$1:$G$1,0))</f>
        <v>L</v>
      </c>
      <c r="K82" s="11">
        <f>INDEX(products!$A$2:$G$49,MATCH(orders!$D82,products!$A$2:$A$49,0),MATCH(orders!K$1,products!$A$1:$G$1,0))</f>
        <v>0.5</v>
      </c>
      <c r="L82" s="12">
        <f>INDEX(products!$A$2:$G$49,MATCH(orders!$D82,products!$A$2:$A$49,0),MATCH(orders!L$1,products!$A$1:$G$1,0))</f>
        <v>7.77</v>
      </c>
      <c r="M82" s="12">
        <f t="shared" si="3"/>
        <v>38.849999999999994</v>
      </c>
      <c r="N82" s="10" t="str">
        <f t="shared" si="4"/>
        <v>Arabica</v>
      </c>
      <c r="O82" s="10" t="str">
        <f t="shared" si="5"/>
        <v>Light</v>
      </c>
      <c r="P82" s="10" t="str">
        <f>_xlfn.XLOOKUP(Tableau1[[#This Row],[Customer ID]],customers!A$2:A$1001,customers!I$2:I$1001)</f>
        <v>Yes</v>
      </c>
    </row>
    <row r="83" spans="1:16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9" t="str">
        <f>_xlfn.XLOOKUP(orders!C83,customers!$A$2:$A$1001,customers!$B$2:$B$1001)</f>
        <v>Sheppard Yann</v>
      </c>
      <c r="G83" s="9" t="str">
        <f>IF(_xlfn.XLOOKUP(orders!C83,customers!$A$2:$A$1001,customers!$C$2:$C$1001,,,)=0,"",_xlfn.XLOOKUP(orders!C83,customers!$A$2:$A$1001,customers!$C$2:$C$1001,,,))</f>
        <v>syann29@senate.gov</v>
      </c>
      <c r="H83" s="9" t="str">
        <f>_xlfn.XLOOKUP(C83,customers!$A$2:$A$1001,customers!$G$2:$G$1001,"")</f>
        <v>United States</v>
      </c>
      <c r="I83" s="10" t="str">
        <f>INDEX(products!$A$2:$G$49,MATCH(orders!$D83,products!$A$2:$A$49,0),MATCH(orders!I$1,products!$A$1:$G$1,0))</f>
        <v>Lib</v>
      </c>
      <c r="J83" s="10" t="str">
        <f>INDEX(products!$A$2:$G$49,MATCH(orders!$D83,products!$A$2:$A$49,0),MATCH(orders!J$1,products!$A$1:$G$1,0))</f>
        <v>L</v>
      </c>
      <c r="K83" s="11">
        <f>INDEX(products!$A$2:$G$49,MATCH(orders!$D83,products!$A$2:$A$49,0),MATCH(orders!K$1,products!$A$1:$G$1,0))</f>
        <v>2.5</v>
      </c>
      <c r="L83" s="12">
        <f>INDEX(products!$A$2:$G$49,MATCH(orders!$D83,products!$A$2:$A$49,0),MATCH(orders!L$1,products!$A$1:$G$1,0))</f>
        <v>36.454999999999998</v>
      </c>
      <c r="M83" s="12">
        <f t="shared" si="3"/>
        <v>109.36499999999999</v>
      </c>
      <c r="N83" s="10" t="str">
        <f t="shared" si="4"/>
        <v>Liberica</v>
      </c>
      <c r="O83" s="10" t="str">
        <f t="shared" si="5"/>
        <v>Light</v>
      </c>
      <c r="P83" s="10" t="str">
        <f>_xlfn.XLOOKUP(Tableau1[[#This Row],[Customer ID]],customers!A$2:A$1001,customers!I$2:I$1001)</f>
        <v>Yes</v>
      </c>
    </row>
    <row r="84" spans="1:16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9" t="str">
        <f>_xlfn.XLOOKUP(orders!C84,customers!$A$2:$A$1001,customers!$B$2:$B$1001)</f>
        <v>Bunny Naulls</v>
      </c>
      <c r="G84" s="9" t="str">
        <f>IF(_xlfn.XLOOKUP(orders!C84,customers!$A$2:$A$1001,customers!$C$2:$C$1001,,,)=0,"",_xlfn.XLOOKUP(orders!C84,customers!$A$2:$A$1001,customers!$C$2:$C$1001,,,))</f>
        <v>bnaulls2a@tiny.cc</v>
      </c>
      <c r="H84" s="9" t="str">
        <f>_xlfn.XLOOKUP(C84,customers!$A$2:$A$1001,customers!$G$2:$G$1001,"")</f>
        <v>Ireland</v>
      </c>
      <c r="I84" s="10" t="str">
        <f>INDEX(products!$A$2:$G$49,MATCH(orders!$D84,products!$A$2:$A$49,0),MATCH(orders!I$1,products!$A$1:$G$1,0))</f>
        <v>Lib</v>
      </c>
      <c r="J84" s="10" t="str">
        <f>INDEX(products!$A$2:$G$49,MATCH(orders!$D84,products!$A$2:$A$49,0),MATCH(orders!J$1,products!$A$1:$G$1,0))</f>
        <v>M</v>
      </c>
      <c r="K84" s="11">
        <f>INDEX(products!$A$2:$G$49,MATCH(orders!$D84,products!$A$2:$A$49,0),MATCH(orders!K$1,products!$A$1:$G$1,0))</f>
        <v>2.5</v>
      </c>
      <c r="L84" s="12">
        <f>INDEX(products!$A$2:$G$49,MATCH(orders!$D84,products!$A$2:$A$49,0),MATCH(orders!L$1,products!$A$1:$G$1,0))</f>
        <v>33.464999999999996</v>
      </c>
      <c r="M84" s="12">
        <f t="shared" si="3"/>
        <v>100.39499999999998</v>
      </c>
      <c r="N84" s="10" t="str">
        <f t="shared" si="4"/>
        <v>Liberica</v>
      </c>
      <c r="O84" s="10" t="str">
        <f t="shared" si="5"/>
        <v>Medium</v>
      </c>
      <c r="P84" s="10" t="str">
        <f>_xlfn.XLOOKUP(Tableau1[[#This Row],[Customer ID]],customers!A$2:A$1001,customers!I$2:I$1001)</f>
        <v>Yes</v>
      </c>
    </row>
    <row r="85" spans="1:16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9" t="str">
        <f>_xlfn.XLOOKUP(orders!C85,customers!$A$2:$A$1001,customers!$B$2:$B$1001)</f>
        <v>Hally Lorait</v>
      </c>
      <c r="G85" s="9" t="str">
        <f>IF(_xlfn.XLOOKUP(orders!C85,customers!$A$2:$A$1001,customers!$C$2:$C$1001,,,)=0,"",_xlfn.XLOOKUP(orders!C85,customers!$A$2:$A$1001,customers!$C$2:$C$1001,,,))</f>
        <v/>
      </c>
      <c r="H85" s="9" t="str">
        <f>_xlfn.XLOOKUP(C85,customers!$A$2:$A$1001,customers!$G$2:$G$1001,"")</f>
        <v>United States</v>
      </c>
      <c r="I85" s="10" t="str">
        <f>INDEX(products!$A$2:$G$49,MATCH(orders!$D85,products!$A$2:$A$49,0),MATCH(orders!I$1,products!$A$1:$G$1,0))</f>
        <v>Rob</v>
      </c>
      <c r="J85" s="10" t="str">
        <f>INDEX(products!$A$2:$G$49,MATCH(orders!$D85,products!$A$2:$A$49,0),MATCH(orders!J$1,products!$A$1:$G$1,0))</f>
        <v>D</v>
      </c>
      <c r="K85" s="11">
        <f>INDEX(products!$A$2:$G$49,MATCH(orders!$D85,products!$A$2:$A$49,0),MATCH(orders!K$1,products!$A$1:$G$1,0))</f>
        <v>2.5</v>
      </c>
      <c r="L85" s="12">
        <f>INDEX(products!$A$2:$G$49,MATCH(orders!$D85,products!$A$2:$A$49,0),MATCH(orders!L$1,products!$A$1:$G$1,0))</f>
        <v>20.584999999999997</v>
      </c>
      <c r="M85" s="12">
        <f t="shared" si="3"/>
        <v>82.339999999999989</v>
      </c>
      <c r="N85" s="10" t="str">
        <f t="shared" si="4"/>
        <v>Robusta</v>
      </c>
      <c r="O85" s="10" t="str">
        <f t="shared" si="5"/>
        <v>Dark</v>
      </c>
      <c r="P85" s="10" t="str">
        <f>_xlfn.XLOOKUP(Tableau1[[#This Row],[Customer ID]],customers!A$2:A$1001,customers!I$2:I$1001)</f>
        <v>Yes</v>
      </c>
    </row>
    <row r="86" spans="1:16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9" t="str">
        <f>_xlfn.XLOOKUP(orders!C86,customers!$A$2:$A$1001,customers!$B$2:$B$1001)</f>
        <v>Zaccaria Sherewood</v>
      </c>
      <c r="G86" s="9" t="str">
        <f>IF(_xlfn.XLOOKUP(orders!C86,customers!$A$2:$A$1001,customers!$C$2:$C$1001,,,)=0,"",_xlfn.XLOOKUP(orders!C86,customers!$A$2:$A$1001,customers!$C$2:$C$1001,,,))</f>
        <v>zsherewood2c@apache.org</v>
      </c>
      <c r="H86" s="9" t="str">
        <f>_xlfn.XLOOKUP(C86,customers!$A$2:$A$1001,customers!$G$2:$G$1001,"")</f>
        <v>United States</v>
      </c>
      <c r="I86" s="10" t="str">
        <f>INDEX(products!$A$2:$G$49,MATCH(orders!$D86,products!$A$2:$A$49,0),MATCH(orders!I$1,products!$A$1:$G$1,0))</f>
        <v>Lib</v>
      </c>
      <c r="J86" s="10" t="str">
        <f>INDEX(products!$A$2:$G$49,MATCH(orders!$D86,products!$A$2:$A$49,0),MATCH(orders!J$1,products!$A$1:$G$1,0))</f>
        <v>L</v>
      </c>
      <c r="K86" s="11">
        <f>INDEX(products!$A$2:$G$49,MATCH(orders!$D86,products!$A$2:$A$49,0),MATCH(orders!K$1,products!$A$1:$G$1,0))</f>
        <v>0.5</v>
      </c>
      <c r="L86" s="12">
        <f>INDEX(products!$A$2:$G$49,MATCH(orders!$D86,products!$A$2:$A$49,0),MATCH(orders!L$1,products!$A$1:$G$1,0))</f>
        <v>9.51</v>
      </c>
      <c r="M86" s="12">
        <f t="shared" si="3"/>
        <v>9.51</v>
      </c>
      <c r="N86" s="10" t="str">
        <f t="shared" si="4"/>
        <v>Liberica</v>
      </c>
      <c r="O86" s="10" t="str">
        <f t="shared" si="5"/>
        <v>Light</v>
      </c>
      <c r="P86" s="10" t="str">
        <f>_xlfn.XLOOKUP(Tableau1[[#This Row],[Customer ID]],customers!A$2:A$1001,customers!I$2:I$1001)</f>
        <v>No</v>
      </c>
    </row>
    <row r="87" spans="1:16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9" t="str">
        <f>_xlfn.XLOOKUP(orders!C87,customers!$A$2:$A$1001,customers!$B$2:$B$1001)</f>
        <v>Jeffrey Dufaire</v>
      </c>
      <c r="G87" s="9" t="str">
        <f>IF(_xlfn.XLOOKUP(orders!C87,customers!$A$2:$A$1001,customers!$C$2:$C$1001,,,)=0,"",_xlfn.XLOOKUP(orders!C87,customers!$A$2:$A$1001,customers!$C$2:$C$1001,,,))</f>
        <v>jdufaire2d@fc2.com</v>
      </c>
      <c r="H87" s="9" t="str">
        <f>_xlfn.XLOOKUP(C87,customers!$A$2:$A$1001,customers!$G$2:$G$1001,"")</f>
        <v>United States</v>
      </c>
      <c r="I87" s="10" t="str">
        <f>INDEX(products!$A$2:$G$49,MATCH(orders!$D87,products!$A$2:$A$49,0),MATCH(orders!I$1,products!$A$1:$G$1,0))</f>
        <v>Ara</v>
      </c>
      <c r="J87" s="10" t="str">
        <f>INDEX(products!$A$2:$G$49,MATCH(orders!$D87,products!$A$2:$A$49,0),MATCH(orders!J$1,products!$A$1:$G$1,0))</f>
        <v>L</v>
      </c>
      <c r="K87" s="11">
        <f>INDEX(products!$A$2:$G$49,MATCH(orders!$D87,products!$A$2:$A$49,0),MATCH(orders!K$1,products!$A$1:$G$1,0))</f>
        <v>2.5</v>
      </c>
      <c r="L87" s="12">
        <f>INDEX(products!$A$2:$G$49,MATCH(orders!$D87,products!$A$2:$A$49,0),MATCH(orders!L$1,products!$A$1:$G$1,0))</f>
        <v>29.784999999999997</v>
      </c>
      <c r="M87" s="12">
        <f t="shared" si="3"/>
        <v>89.35499999999999</v>
      </c>
      <c r="N87" s="10" t="str">
        <f t="shared" si="4"/>
        <v>Arabica</v>
      </c>
      <c r="O87" s="10" t="str">
        <f t="shared" si="5"/>
        <v>Light</v>
      </c>
      <c r="P87" s="10" t="str">
        <f>_xlfn.XLOOKUP(Tableau1[[#This Row],[Customer ID]],customers!A$2:A$1001,customers!I$2:I$1001)</f>
        <v>No</v>
      </c>
    </row>
    <row r="88" spans="1:16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9" t="str">
        <f>_xlfn.XLOOKUP(orders!C88,customers!$A$2:$A$1001,customers!$B$2:$B$1001)</f>
        <v>Jeffrey Dufaire</v>
      </c>
      <c r="G88" s="9" t="str">
        <f>IF(_xlfn.XLOOKUP(orders!C88,customers!$A$2:$A$1001,customers!$C$2:$C$1001,,,)=0,"",_xlfn.XLOOKUP(orders!C88,customers!$A$2:$A$1001,customers!$C$2:$C$1001,,,))</f>
        <v>jdufaire2d@fc2.com</v>
      </c>
      <c r="H88" s="9" t="str">
        <f>_xlfn.XLOOKUP(C88,customers!$A$2:$A$1001,customers!$G$2:$G$1001,"")</f>
        <v>United States</v>
      </c>
      <c r="I88" s="10" t="str">
        <f>INDEX(products!$A$2:$G$49,MATCH(orders!$D88,products!$A$2:$A$49,0),MATCH(orders!I$1,products!$A$1:$G$1,0))</f>
        <v>Ara</v>
      </c>
      <c r="J88" s="10" t="str">
        <f>INDEX(products!$A$2:$G$49,MATCH(orders!$D88,products!$A$2:$A$49,0),MATCH(orders!J$1,products!$A$1:$G$1,0))</f>
        <v>D</v>
      </c>
      <c r="K88" s="11">
        <f>INDEX(products!$A$2:$G$49,MATCH(orders!$D88,products!$A$2:$A$49,0),MATCH(orders!K$1,products!$A$1:$G$1,0))</f>
        <v>0.2</v>
      </c>
      <c r="L88" s="12">
        <f>INDEX(products!$A$2:$G$49,MATCH(orders!$D88,products!$A$2:$A$49,0),MATCH(orders!L$1,products!$A$1:$G$1,0))</f>
        <v>2.9849999999999999</v>
      </c>
      <c r="M88" s="12">
        <f t="shared" si="3"/>
        <v>11.94</v>
      </c>
      <c r="N88" s="10" t="str">
        <f t="shared" si="4"/>
        <v>Arabica</v>
      </c>
      <c r="O88" s="10" t="str">
        <f t="shared" si="5"/>
        <v>Dark</v>
      </c>
      <c r="P88" s="10" t="str">
        <f>_xlfn.XLOOKUP(Tableau1[[#This Row],[Customer ID]],customers!A$2:A$1001,customers!I$2:I$1001)</f>
        <v>No</v>
      </c>
    </row>
    <row r="89" spans="1:16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9" t="str">
        <f>_xlfn.XLOOKUP(orders!C89,customers!$A$2:$A$1001,customers!$B$2:$B$1001)</f>
        <v>Beitris Keaveney</v>
      </c>
      <c r="G89" s="9" t="str">
        <f>IF(_xlfn.XLOOKUP(orders!C89,customers!$A$2:$A$1001,customers!$C$2:$C$1001,,,)=0,"",_xlfn.XLOOKUP(orders!C89,customers!$A$2:$A$1001,customers!$C$2:$C$1001,,,))</f>
        <v>bkeaveney2f@netlog.com</v>
      </c>
      <c r="H89" s="9" t="str">
        <f>_xlfn.XLOOKUP(C89,customers!$A$2:$A$1001,customers!$G$2:$G$1001,"")</f>
        <v>United States</v>
      </c>
      <c r="I89" s="10" t="str">
        <f>INDEX(products!$A$2:$G$49,MATCH(orders!$D89,products!$A$2:$A$49,0),MATCH(orders!I$1,products!$A$1:$G$1,0))</f>
        <v>Ara</v>
      </c>
      <c r="J89" s="10" t="str">
        <f>INDEX(products!$A$2:$G$49,MATCH(orders!$D89,products!$A$2:$A$49,0),MATCH(orders!J$1,products!$A$1:$G$1,0))</f>
        <v>M</v>
      </c>
      <c r="K89" s="11">
        <f>INDEX(products!$A$2:$G$49,MATCH(orders!$D89,products!$A$2:$A$49,0),MATCH(orders!K$1,products!$A$1:$G$1,0))</f>
        <v>1</v>
      </c>
      <c r="L89" s="12">
        <f>INDEX(products!$A$2:$G$49,MATCH(orders!$D89,products!$A$2:$A$49,0),MATCH(orders!L$1,products!$A$1:$G$1,0))</f>
        <v>11.25</v>
      </c>
      <c r="M89" s="12">
        <f t="shared" si="3"/>
        <v>33.75</v>
      </c>
      <c r="N89" s="10" t="str">
        <f t="shared" si="4"/>
        <v>Arabica</v>
      </c>
      <c r="O89" s="10" t="str">
        <f t="shared" si="5"/>
        <v>Medium</v>
      </c>
      <c r="P89" s="10" t="str">
        <f>_xlfn.XLOOKUP(Tableau1[[#This Row],[Customer ID]],customers!A$2:A$1001,customers!I$2:I$1001)</f>
        <v>No</v>
      </c>
    </row>
    <row r="90" spans="1:16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9" t="str">
        <f>_xlfn.XLOOKUP(orders!C90,customers!$A$2:$A$1001,customers!$B$2:$B$1001)</f>
        <v>Elna Grise</v>
      </c>
      <c r="G90" s="9" t="str">
        <f>IF(_xlfn.XLOOKUP(orders!C90,customers!$A$2:$A$1001,customers!$C$2:$C$1001,,,)=0,"",_xlfn.XLOOKUP(orders!C90,customers!$A$2:$A$1001,customers!$C$2:$C$1001,,,))</f>
        <v>egrise2g@cargocollective.com</v>
      </c>
      <c r="H90" s="9" t="str">
        <f>_xlfn.XLOOKUP(C90,customers!$A$2:$A$1001,customers!$G$2:$G$1001,"")</f>
        <v>United States</v>
      </c>
      <c r="I90" s="10" t="str">
        <f>INDEX(products!$A$2:$G$49,MATCH(orders!$D90,products!$A$2:$A$49,0),MATCH(orders!I$1,products!$A$1:$G$1,0))</f>
        <v>Rob</v>
      </c>
      <c r="J90" s="10" t="str">
        <f>INDEX(products!$A$2:$G$49,MATCH(orders!$D90,products!$A$2:$A$49,0),MATCH(orders!J$1,products!$A$1:$G$1,0))</f>
        <v>L</v>
      </c>
      <c r="K90" s="11">
        <f>INDEX(products!$A$2:$G$49,MATCH(orders!$D90,products!$A$2:$A$49,0),MATCH(orders!K$1,products!$A$1:$G$1,0))</f>
        <v>1</v>
      </c>
      <c r="L90" s="12">
        <f>INDEX(products!$A$2:$G$49,MATCH(orders!$D90,products!$A$2:$A$49,0),MATCH(orders!L$1,products!$A$1:$G$1,0))</f>
        <v>11.95</v>
      </c>
      <c r="M90" s="12">
        <f t="shared" si="3"/>
        <v>35.849999999999994</v>
      </c>
      <c r="N90" s="10" t="str">
        <f t="shared" si="4"/>
        <v>Robusta</v>
      </c>
      <c r="O90" s="10" t="str">
        <f t="shared" si="5"/>
        <v>Light</v>
      </c>
      <c r="P90" s="10" t="str">
        <f>_xlfn.XLOOKUP(Tableau1[[#This Row],[Customer ID]],customers!A$2:A$1001,customers!I$2:I$1001)</f>
        <v>No</v>
      </c>
    </row>
    <row r="91" spans="1:16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9" t="str">
        <f>_xlfn.XLOOKUP(orders!C91,customers!$A$2:$A$1001,customers!$B$2:$B$1001)</f>
        <v>Torie Gottelier</v>
      </c>
      <c r="G91" s="9" t="str">
        <f>IF(_xlfn.XLOOKUP(orders!C91,customers!$A$2:$A$1001,customers!$C$2:$C$1001,,,)=0,"",_xlfn.XLOOKUP(orders!C91,customers!$A$2:$A$1001,customers!$C$2:$C$1001,,,))</f>
        <v>tgottelier2h@vistaprint.com</v>
      </c>
      <c r="H91" s="9" t="str">
        <f>_xlfn.XLOOKUP(C91,customers!$A$2:$A$1001,customers!$G$2:$G$1001,"")</f>
        <v>United States</v>
      </c>
      <c r="I91" s="10" t="str">
        <f>INDEX(products!$A$2:$G$49,MATCH(orders!$D91,products!$A$2:$A$49,0),MATCH(orders!I$1,products!$A$1:$G$1,0))</f>
        <v>Ara</v>
      </c>
      <c r="J91" s="10" t="str">
        <f>INDEX(products!$A$2:$G$49,MATCH(orders!$D91,products!$A$2:$A$49,0),MATCH(orders!J$1,products!$A$1:$G$1,0))</f>
        <v>L</v>
      </c>
      <c r="K91" s="11">
        <f>INDEX(products!$A$2:$G$49,MATCH(orders!$D91,products!$A$2:$A$49,0),MATCH(orders!K$1,products!$A$1:$G$1,0))</f>
        <v>1</v>
      </c>
      <c r="L91" s="12">
        <f>INDEX(products!$A$2:$G$49,MATCH(orders!$D91,products!$A$2:$A$49,0),MATCH(orders!L$1,products!$A$1:$G$1,0))</f>
        <v>12.95</v>
      </c>
      <c r="M91" s="12">
        <f t="shared" si="3"/>
        <v>77.699999999999989</v>
      </c>
      <c r="N91" s="10" t="str">
        <f t="shared" si="4"/>
        <v>Arabica</v>
      </c>
      <c r="O91" s="10" t="str">
        <f t="shared" si="5"/>
        <v>Light</v>
      </c>
      <c r="P91" s="10" t="str">
        <f>_xlfn.XLOOKUP(Tableau1[[#This Row],[Customer ID]],customers!A$2:A$1001,customers!I$2:I$1001)</f>
        <v>No</v>
      </c>
    </row>
    <row r="92" spans="1:16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9" t="str">
        <f>_xlfn.XLOOKUP(orders!C92,customers!$A$2:$A$1001,customers!$B$2:$B$1001)</f>
        <v>Loydie Langlais</v>
      </c>
      <c r="G92" s="9" t="str">
        <f>IF(_xlfn.XLOOKUP(orders!C92,customers!$A$2:$A$1001,customers!$C$2:$C$1001,,,)=0,"",_xlfn.XLOOKUP(orders!C92,customers!$A$2:$A$1001,customers!$C$2:$C$1001,,,))</f>
        <v/>
      </c>
      <c r="H92" s="9" t="str">
        <f>_xlfn.XLOOKUP(C92,customers!$A$2:$A$1001,customers!$G$2:$G$1001,"")</f>
        <v>Ireland</v>
      </c>
      <c r="I92" s="10" t="str">
        <f>INDEX(products!$A$2:$G$49,MATCH(orders!$D92,products!$A$2:$A$49,0),MATCH(orders!I$1,products!$A$1:$G$1,0))</f>
        <v>Ara</v>
      </c>
      <c r="J92" s="10" t="str">
        <f>INDEX(products!$A$2:$G$49,MATCH(orders!$D92,products!$A$2:$A$49,0),MATCH(orders!J$1,products!$A$1:$G$1,0))</f>
        <v>L</v>
      </c>
      <c r="K92" s="11">
        <f>INDEX(products!$A$2:$G$49,MATCH(orders!$D92,products!$A$2:$A$49,0),MATCH(orders!K$1,products!$A$1:$G$1,0))</f>
        <v>1</v>
      </c>
      <c r="L92" s="12">
        <f>INDEX(products!$A$2:$G$49,MATCH(orders!$D92,products!$A$2:$A$49,0),MATCH(orders!L$1,products!$A$1:$G$1,0))</f>
        <v>12.95</v>
      </c>
      <c r="M92" s="12">
        <f t="shared" si="3"/>
        <v>51.8</v>
      </c>
      <c r="N92" s="10" t="str">
        <f t="shared" si="4"/>
        <v>Arabica</v>
      </c>
      <c r="O92" s="10" t="str">
        <f t="shared" si="5"/>
        <v>Light</v>
      </c>
      <c r="P92" s="10" t="str">
        <f>_xlfn.XLOOKUP(Tableau1[[#This Row],[Customer ID]],customers!A$2:A$1001,customers!I$2:I$1001)</f>
        <v>Yes</v>
      </c>
    </row>
    <row r="93" spans="1:16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9" t="str">
        <f>_xlfn.XLOOKUP(orders!C93,customers!$A$2:$A$1001,customers!$B$2:$B$1001)</f>
        <v>Adham Greenhead</v>
      </c>
      <c r="G93" s="9" t="str">
        <f>IF(_xlfn.XLOOKUP(orders!C93,customers!$A$2:$A$1001,customers!$C$2:$C$1001,,,)=0,"",_xlfn.XLOOKUP(orders!C93,customers!$A$2:$A$1001,customers!$C$2:$C$1001,,,))</f>
        <v>agreenhead2j@dailymail.co.uk</v>
      </c>
      <c r="H93" s="9" t="str">
        <f>_xlfn.XLOOKUP(C93,customers!$A$2:$A$1001,customers!$G$2:$G$1001,"")</f>
        <v>United States</v>
      </c>
      <c r="I93" s="10" t="str">
        <f>INDEX(products!$A$2:$G$49,MATCH(orders!$D93,products!$A$2:$A$49,0),MATCH(orders!I$1,products!$A$1:$G$1,0))</f>
        <v>Ara</v>
      </c>
      <c r="J93" s="10" t="str">
        <f>INDEX(products!$A$2:$G$49,MATCH(orders!$D93,products!$A$2:$A$49,0),MATCH(orders!J$1,products!$A$1:$G$1,0))</f>
        <v>M</v>
      </c>
      <c r="K93" s="11">
        <f>INDEX(products!$A$2:$G$49,MATCH(orders!$D93,products!$A$2:$A$49,0),MATCH(orders!K$1,products!$A$1:$G$1,0))</f>
        <v>2.5</v>
      </c>
      <c r="L93" s="12">
        <f>INDEX(products!$A$2:$G$49,MATCH(orders!$D93,products!$A$2:$A$49,0),MATCH(orders!L$1,products!$A$1:$G$1,0))</f>
        <v>25.874999999999996</v>
      </c>
      <c r="M93" s="12">
        <f t="shared" si="3"/>
        <v>103.49999999999999</v>
      </c>
      <c r="N93" s="10" t="str">
        <f t="shared" si="4"/>
        <v>Arabica</v>
      </c>
      <c r="O93" s="10" t="str">
        <f t="shared" si="5"/>
        <v>Medium</v>
      </c>
      <c r="P93" s="10" t="str">
        <f>_xlfn.XLOOKUP(Tableau1[[#This Row],[Customer ID]],customers!A$2:A$1001,customers!I$2:I$1001)</f>
        <v>No</v>
      </c>
    </row>
    <row r="94" spans="1:16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9" t="str">
        <f>_xlfn.XLOOKUP(orders!C94,customers!$A$2:$A$1001,customers!$B$2:$B$1001)</f>
        <v>Hamish MacSherry</v>
      </c>
      <c r="G94" s="9" t="str">
        <f>IF(_xlfn.XLOOKUP(orders!C94,customers!$A$2:$A$1001,customers!$C$2:$C$1001,,,)=0,"",_xlfn.XLOOKUP(orders!C94,customers!$A$2:$A$1001,customers!$C$2:$C$1001,,,))</f>
        <v/>
      </c>
      <c r="H94" s="9" t="str">
        <f>_xlfn.XLOOKUP(C94,customers!$A$2:$A$1001,customers!$G$2:$G$1001,"")</f>
        <v>United States</v>
      </c>
      <c r="I94" s="10" t="str">
        <f>INDEX(products!$A$2:$G$49,MATCH(orders!$D94,products!$A$2:$A$49,0),MATCH(orders!I$1,products!$A$1:$G$1,0))</f>
        <v>Exc</v>
      </c>
      <c r="J94" s="10" t="str">
        <f>INDEX(products!$A$2:$G$49,MATCH(orders!$D94,products!$A$2:$A$49,0),MATCH(orders!J$1,products!$A$1:$G$1,0))</f>
        <v>L</v>
      </c>
      <c r="K94" s="11">
        <f>INDEX(products!$A$2:$G$49,MATCH(orders!$D94,products!$A$2:$A$49,0),MATCH(orders!K$1,products!$A$1:$G$1,0))</f>
        <v>1</v>
      </c>
      <c r="L94" s="12">
        <f>INDEX(products!$A$2:$G$49,MATCH(orders!$D94,products!$A$2:$A$49,0),MATCH(orders!L$1,products!$A$1:$G$1,0))</f>
        <v>14.85</v>
      </c>
      <c r="M94" s="12">
        <f t="shared" si="3"/>
        <v>44.55</v>
      </c>
      <c r="N94" s="10" t="str">
        <f t="shared" si="4"/>
        <v>Excelsa</v>
      </c>
      <c r="O94" s="10" t="str">
        <f t="shared" si="5"/>
        <v>Light</v>
      </c>
      <c r="P94" s="10" t="str">
        <f>_xlfn.XLOOKUP(Tableau1[[#This Row],[Customer ID]],customers!A$2:A$1001,customers!I$2:I$1001)</f>
        <v>Yes</v>
      </c>
    </row>
    <row r="95" spans="1:16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9" t="str">
        <f>_xlfn.XLOOKUP(orders!C95,customers!$A$2:$A$1001,customers!$B$2:$B$1001)</f>
        <v>Else Langcaster</v>
      </c>
      <c r="G95" s="9" t="str">
        <f>IF(_xlfn.XLOOKUP(orders!C95,customers!$A$2:$A$1001,customers!$C$2:$C$1001,,,)=0,"",_xlfn.XLOOKUP(orders!C95,customers!$A$2:$A$1001,customers!$C$2:$C$1001,,,))</f>
        <v>elangcaster2l@spotify.com</v>
      </c>
      <c r="H95" s="9" t="str">
        <f>_xlfn.XLOOKUP(C95,customers!$A$2:$A$1001,customers!$G$2:$G$1001,"")</f>
        <v>United Kingdom</v>
      </c>
      <c r="I95" s="10" t="str">
        <f>INDEX(products!$A$2:$G$49,MATCH(orders!$D95,products!$A$2:$A$49,0),MATCH(orders!I$1,products!$A$1:$G$1,0))</f>
        <v>Exc</v>
      </c>
      <c r="J95" s="10" t="str">
        <f>INDEX(products!$A$2:$G$49,MATCH(orders!$D95,products!$A$2:$A$49,0),MATCH(orders!J$1,products!$A$1:$G$1,0))</f>
        <v>L</v>
      </c>
      <c r="K95" s="11">
        <f>INDEX(products!$A$2:$G$49,MATCH(orders!$D95,products!$A$2:$A$49,0),MATCH(orders!K$1,products!$A$1:$G$1,0))</f>
        <v>0.5</v>
      </c>
      <c r="L95" s="12">
        <f>INDEX(products!$A$2:$G$49,MATCH(orders!$D95,products!$A$2:$A$49,0),MATCH(orders!L$1,products!$A$1:$G$1,0))</f>
        <v>8.91</v>
      </c>
      <c r="M95" s="12">
        <f t="shared" si="3"/>
        <v>35.64</v>
      </c>
      <c r="N95" s="10" t="str">
        <f t="shared" si="4"/>
        <v>Excelsa</v>
      </c>
      <c r="O95" s="10" t="str">
        <f t="shared" si="5"/>
        <v>Light</v>
      </c>
      <c r="P95" s="10" t="str">
        <f>_xlfn.XLOOKUP(Tableau1[[#This Row],[Customer ID]],customers!A$2:A$1001,customers!I$2:I$1001)</f>
        <v>Yes</v>
      </c>
    </row>
    <row r="96" spans="1:16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9" t="str">
        <f>_xlfn.XLOOKUP(orders!C96,customers!$A$2:$A$1001,customers!$B$2:$B$1001)</f>
        <v>Rudy Farquharson</v>
      </c>
      <c r="G96" s="9" t="str">
        <f>IF(_xlfn.XLOOKUP(orders!C96,customers!$A$2:$A$1001,customers!$C$2:$C$1001,,,)=0,"",_xlfn.XLOOKUP(orders!C96,customers!$A$2:$A$1001,customers!$C$2:$C$1001,,,))</f>
        <v/>
      </c>
      <c r="H96" s="9" t="str">
        <f>_xlfn.XLOOKUP(C96,customers!$A$2:$A$1001,customers!$G$2:$G$1001,"")</f>
        <v>Ireland</v>
      </c>
      <c r="I96" s="10" t="str">
        <f>INDEX(products!$A$2:$G$49,MATCH(orders!$D96,products!$A$2:$A$49,0),MATCH(orders!I$1,products!$A$1:$G$1,0))</f>
        <v>Ara</v>
      </c>
      <c r="J96" s="10" t="str">
        <f>INDEX(products!$A$2:$G$49,MATCH(orders!$D96,products!$A$2:$A$49,0),MATCH(orders!J$1,products!$A$1:$G$1,0))</f>
        <v>D</v>
      </c>
      <c r="K96" s="11">
        <f>INDEX(products!$A$2:$G$49,MATCH(orders!$D96,products!$A$2:$A$49,0),MATCH(orders!K$1,products!$A$1:$G$1,0))</f>
        <v>0.2</v>
      </c>
      <c r="L96" s="12">
        <f>INDEX(products!$A$2:$G$49,MATCH(orders!$D96,products!$A$2:$A$49,0),MATCH(orders!L$1,products!$A$1:$G$1,0))</f>
        <v>2.9849999999999999</v>
      </c>
      <c r="M96" s="12">
        <f t="shared" si="3"/>
        <v>17.91</v>
      </c>
      <c r="N96" s="10" t="str">
        <f t="shared" si="4"/>
        <v>Arabica</v>
      </c>
      <c r="O96" s="10" t="str">
        <f t="shared" si="5"/>
        <v>Dark</v>
      </c>
      <c r="P96" s="10" t="str">
        <f>_xlfn.XLOOKUP(Tableau1[[#This Row],[Customer ID]],customers!A$2:A$1001,customers!I$2:I$1001)</f>
        <v>Yes</v>
      </c>
    </row>
    <row r="97" spans="1:16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9" t="str">
        <f>_xlfn.XLOOKUP(orders!C97,customers!$A$2:$A$1001,customers!$B$2:$B$1001)</f>
        <v>Norene Magauran</v>
      </c>
      <c r="G97" s="9" t="str">
        <f>IF(_xlfn.XLOOKUP(orders!C97,customers!$A$2:$A$1001,customers!$C$2:$C$1001,,,)=0,"",_xlfn.XLOOKUP(orders!C97,customers!$A$2:$A$1001,customers!$C$2:$C$1001,,,))</f>
        <v>nmagauran2n@51.la</v>
      </c>
      <c r="H97" s="9" t="str">
        <f>_xlfn.XLOOKUP(C97,customers!$A$2:$A$1001,customers!$G$2:$G$1001,"")</f>
        <v>United States</v>
      </c>
      <c r="I97" s="10" t="str">
        <f>INDEX(products!$A$2:$G$49,MATCH(orders!$D97,products!$A$2:$A$49,0),MATCH(orders!I$1,products!$A$1:$G$1,0))</f>
        <v>Ara</v>
      </c>
      <c r="J97" s="10" t="str">
        <f>INDEX(products!$A$2:$G$49,MATCH(orders!$D97,products!$A$2:$A$49,0),MATCH(orders!J$1,products!$A$1:$G$1,0))</f>
        <v>M</v>
      </c>
      <c r="K97" s="11">
        <f>INDEX(products!$A$2:$G$49,MATCH(orders!$D97,products!$A$2:$A$49,0),MATCH(orders!K$1,products!$A$1:$G$1,0))</f>
        <v>2.5</v>
      </c>
      <c r="L97" s="12">
        <f>INDEX(products!$A$2:$G$49,MATCH(orders!$D97,products!$A$2:$A$49,0),MATCH(orders!L$1,products!$A$1:$G$1,0))</f>
        <v>25.874999999999996</v>
      </c>
      <c r="M97" s="12">
        <f t="shared" si="3"/>
        <v>155.24999999999997</v>
      </c>
      <c r="N97" s="10" t="str">
        <f t="shared" si="4"/>
        <v>Arabica</v>
      </c>
      <c r="O97" s="10" t="str">
        <f t="shared" si="5"/>
        <v>Medium</v>
      </c>
      <c r="P97" s="10" t="str">
        <f>_xlfn.XLOOKUP(Tableau1[[#This Row],[Customer ID]],customers!A$2:A$1001,customers!I$2:I$1001)</f>
        <v>No</v>
      </c>
    </row>
    <row r="98" spans="1:16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9" t="str">
        <f>_xlfn.XLOOKUP(orders!C98,customers!$A$2:$A$1001,customers!$B$2:$B$1001)</f>
        <v>Vicki Kirdsch</v>
      </c>
      <c r="G98" s="9" t="str">
        <f>IF(_xlfn.XLOOKUP(orders!C98,customers!$A$2:$A$1001,customers!$C$2:$C$1001,,,)=0,"",_xlfn.XLOOKUP(orders!C98,customers!$A$2:$A$1001,customers!$C$2:$C$1001,,,))</f>
        <v>vkirdsch2o@google.fr</v>
      </c>
      <c r="H98" s="9" t="str">
        <f>_xlfn.XLOOKUP(C98,customers!$A$2:$A$1001,customers!$G$2:$G$1001,"")</f>
        <v>United States</v>
      </c>
      <c r="I98" s="10" t="str">
        <f>INDEX(products!$A$2:$G$49,MATCH(orders!$D98,products!$A$2:$A$49,0),MATCH(orders!I$1,products!$A$1:$G$1,0))</f>
        <v>Ara</v>
      </c>
      <c r="J98" s="10" t="str">
        <f>INDEX(products!$A$2:$G$49,MATCH(orders!$D98,products!$A$2:$A$49,0),MATCH(orders!J$1,products!$A$1:$G$1,0))</f>
        <v>D</v>
      </c>
      <c r="K98" s="11">
        <f>INDEX(products!$A$2:$G$49,MATCH(orders!$D98,products!$A$2:$A$49,0),MATCH(orders!K$1,products!$A$1:$G$1,0))</f>
        <v>0.2</v>
      </c>
      <c r="L98" s="12">
        <f>INDEX(products!$A$2:$G$49,MATCH(orders!$D98,products!$A$2:$A$49,0),MATCH(orders!L$1,products!$A$1:$G$1,0))</f>
        <v>2.9849999999999999</v>
      </c>
      <c r="M98" s="12">
        <f t="shared" si="3"/>
        <v>5.97</v>
      </c>
      <c r="N98" s="10" t="str">
        <f t="shared" si="4"/>
        <v>Arabica</v>
      </c>
      <c r="O98" s="10" t="str">
        <f t="shared" si="5"/>
        <v>Dark</v>
      </c>
      <c r="P98" s="10" t="str">
        <f>_xlfn.XLOOKUP(Tableau1[[#This Row],[Customer ID]],customers!A$2:A$1001,customers!I$2:I$1001)</f>
        <v>No</v>
      </c>
    </row>
    <row r="99" spans="1:16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9" t="str">
        <f>_xlfn.XLOOKUP(orders!C99,customers!$A$2:$A$1001,customers!$B$2:$B$1001)</f>
        <v>Ilysa Whapple</v>
      </c>
      <c r="G99" s="9" t="str">
        <f>IF(_xlfn.XLOOKUP(orders!C99,customers!$A$2:$A$1001,customers!$C$2:$C$1001,,,)=0,"",_xlfn.XLOOKUP(orders!C99,customers!$A$2:$A$1001,customers!$C$2:$C$1001,,,))</f>
        <v>iwhapple2p@com.com</v>
      </c>
      <c r="H99" s="9" t="str">
        <f>_xlfn.XLOOKUP(C99,customers!$A$2:$A$1001,customers!$G$2:$G$1001,"")</f>
        <v>United States</v>
      </c>
      <c r="I99" s="10" t="str">
        <f>INDEX(products!$A$2:$G$49,MATCH(orders!$D99,products!$A$2:$A$49,0),MATCH(orders!I$1,products!$A$1:$G$1,0))</f>
        <v>Ara</v>
      </c>
      <c r="J99" s="10" t="str">
        <f>INDEX(products!$A$2:$G$49,MATCH(orders!$D99,products!$A$2:$A$49,0),MATCH(orders!J$1,products!$A$1:$G$1,0))</f>
        <v>M</v>
      </c>
      <c r="K99" s="11">
        <f>INDEX(products!$A$2:$G$49,MATCH(orders!$D99,products!$A$2:$A$49,0),MATCH(orders!K$1,products!$A$1:$G$1,0))</f>
        <v>0.5</v>
      </c>
      <c r="L99" s="12">
        <f>INDEX(products!$A$2:$G$49,MATCH(orders!$D99,products!$A$2:$A$49,0),MATCH(orders!L$1,products!$A$1:$G$1,0))</f>
        <v>6.75</v>
      </c>
      <c r="M99" s="12">
        <f t="shared" si="3"/>
        <v>13.5</v>
      </c>
      <c r="N99" s="10" t="str">
        <f t="shared" si="4"/>
        <v>Arabica</v>
      </c>
      <c r="O99" s="10" t="str">
        <f t="shared" si="5"/>
        <v>Medium</v>
      </c>
      <c r="P99" s="10" t="str">
        <f>_xlfn.XLOOKUP(Tableau1[[#This Row],[Customer ID]],customers!A$2:A$1001,customers!I$2:I$1001)</f>
        <v>No</v>
      </c>
    </row>
    <row r="100" spans="1:16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9" t="str">
        <f>_xlfn.XLOOKUP(orders!C100,customers!$A$2:$A$1001,customers!$B$2:$B$1001)</f>
        <v>Ruy Cancellieri</v>
      </c>
      <c r="G100" s="9" t="str">
        <f>IF(_xlfn.XLOOKUP(orders!C100,customers!$A$2:$A$1001,customers!$C$2:$C$1001,,,)=0,"",_xlfn.XLOOKUP(orders!C100,customers!$A$2:$A$1001,customers!$C$2:$C$1001,,,))</f>
        <v/>
      </c>
      <c r="H100" s="9" t="str">
        <f>_xlfn.XLOOKUP(C100,customers!$A$2:$A$1001,customers!$G$2:$G$1001,"")</f>
        <v>Ireland</v>
      </c>
      <c r="I100" s="10" t="str">
        <f>INDEX(products!$A$2:$G$49,MATCH(orders!$D100,products!$A$2:$A$49,0),MATCH(orders!I$1,products!$A$1:$G$1,0))</f>
        <v>Ara</v>
      </c>
      <c r="J100" s="10" t="str">
        <f>INDEX(products!$A$2:$G$49,MATCH(orders!$D100,products!$A$2:$A$49,0),MATCH(orders!J$1,products!$A$1:$G$1,0))</f>
        <v>D</v>
      </c>
      <c r="K100" s="11">
        <f>INDEX(products!$A$2:$G$49,MATCH(orders!$D100,products!$A$2:$A$49,0),MATCH(orders!K$1,products!$A$1:$G$1,0))</f>
        <v>0.2</v>
      </c>
      <c r="L100" s="12">
        <f>INDEX(products!$A$2:$G$49,MATCH(orders!$D100,products!$A$2:$A$49,0),MATCH(orders!L$1,products!$A$1:$G$1,0))</f>
        <v>2.9849999999999999</v>
      </c>
      <c r="M100" s="12">
        <f t="shared" si="3"/>
        <v>2.9849999999999999</v>
      </c>
      <c r="N100" s="10" t="str">
        <f t="shared" si="4"/>
        <v>Arabica</v>
      </c>
      <c r="O100" s="10" t="str">
        <f t="shared" si="5"/>
        <v>Dark</v>
      </c>
      <c r="P100" s="10" t="str">
        <f>_xlfn.XLOOKUP(Tableau1[[#This Row],[Customer ID]],customers!A$2:A$1001,customers!I$2:I$1001)</f>
        <v>No</v>
      </c>
    </row>
    <row r="101" spans="1:16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9" t="str">
        <f>_xlfn.XLOOKUP(orders!C101,customers!$A$2:$A$1001,customers!$B$2:$B$1001)</f>
        <v>Aube Follett</v>
      </c>
      <c r="G101" s="9" t="str">
        <f>IF(_xlfn.XLOOKUP(orders!C101,customers!$A$2:$A$1001,customers!$C$2:$C$1001,,,)=0,"",_xlfn.XLOOKUP(orders!C101,customers!$A$2:$A$1001,customers!$C$2:$C$1001,,,))</f>
        <v/>
      </c>
      <c r="H101" s="9" t="str">
        <f>_xlfn.XLOOKUP(C101,customers!$A$2:$A$1001,customers!$G$2:$G$1001,"")</f>
        <v>United States</v>
      </c>
      <c r="I101" s="10" t="str">
        <f>INDEX(products!$A$2:$G$49,MATCH(orders!$D101,products!$A$2:$A$49,0),MATCH(orders!I$1,products!$A$1:$G$1,0))</f>
        <v>Lib</v>
      </c>
      <c r="J101" s="10" t="str">
        <f>INDEX(products!$A$2:$G$49,MATCH(orders!$D101,products!$A$2:$A$49,0),MATCH(orders!J$1,products!$A$1:$G$1,0))</f>
        <v>M</v>
      </c>
      <c r="K101" s="11">
        <f>INDEX(products!$A$2:$G$49,MATCH(orders!$D101,products!$A$2:$A$49,0),MATCH(orders!K$1,products!$A$1:$G$1,0))</f>
        <v>0.2</v>
      </c>
      <c r="L101" s="12">
        <f>INDEX(products!$A$2:$G$49,MATCH(orders!$D101,products!$A$2:$A$49,0),MATCH(orders!L$1,products!$A$1:$G$1,0))</f>
        <v>4.3650000000000002</v>
      </c>
      <c r="M101" s="12">
        <f t="shared" si="3"/>
        <v>13.095000000000001</v>
      </c>
      <c r="N101" s="10" t="str">
        <f t="shared" si="4"/>
        <v>Liberica</v>
      </c>
      <c r="O101" s="10" t="str">
        <f t="shared" si="5"/>
        <v>Medium</v>
      </c>
      <c r="P101" s="10" t="str">
        <f>_xlfn.XLOOKUP(Tableau1[[#This Row],[Customer ID]],customers!A$2:A$1001,customers!I$2:I$1001)</f>
        <v>Yes</v>
      </c>
    </row>
    <row r="102" spans="1:16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9" t="str">
        <f>_xlfn.XLOOKUP(orders!C102,customers!$A$2:$A$1001,customers!$B$2:$B$1001)</f>
        <v>Rudiger Di Bartolomeo</v>
      </c>
      <c r="G102" s="9" t="str">
        <f>IF(_xlfn.XLOOKUP(orders!C102,customers!$A$2:$A$1001,customers!$C$2:$C$1001,,,)=0,"",_xlfn.XLOOKUP(orders!C102,customers!$A$2:$A$1001,customers!$C$2:$C$1001,,,))</f>
        <v/>
      </c>
      <c r="H102" s="9" t="str">
        <f>_xlfn.XLOOKUP(C102,customers!$A$2:$A$1001,customers!$G$2:$G$1001,"")</f>
        <v>United States</v>
      </c>
      <c r="I102" s="10" t="str">
        <f>INDEX(products!$A$2:$G$49,MATCH(orders!$D102,products!$A$2:$A$49,0),MATCH(orders!I$1,products!$A$1:$G$1,0))</f>
        <v>Ara</v>
      </c>
      <c r="J102" s="10" t="str">
        <f>INDEX(products!$A$2:$G$49,MATCH(orders!$D102,products!$A$2:$A$49,0),MATCH(orders!J$1,products!$A$1:$G$1,0))</f>
        <v>L</v>
      </c>
      <c r="K102" s="11">
        <f>INDEX(products!$A$2:$G$49,MATCH(orders!$D102,products!$A$2:$A$49,0),MATCH(orders!K$1,products!$A$1:$G$1,0))</f>
        <v>0.2</v>
      </c>
      <c r="L102" s="12">
        <f>INDEX(products!$A$2:$G$49,MATCH(orders!$D102,products!$A$2:$A$49,0),MATCH(orders!L$1,products!$A$1:$G$1,0))</f>
        <v>3.8849999999999998</v>
      </c>
      <c r="M102" s="12">
        <f t="shared" si="3"/>
        <v>7.77</v>
      </c>
      <c r="N102" s="10" t="str">
        <f t="shared" si="4"/>
        <v>Arabica</v>
      </c>
      <c r="O102" s="10" t="str">
        <f t="shared" si="5"/>
        <v>Light</v>
      </c>
      <c r="P102" s="10" t="str">
        <f>_xlfn.XLOOKUP(Tableau1[[#This Row],[Customer ID]],customers!A$2:A$1001,customers!I$2:I$1001)</f>
        <v>Yes</v>
      </c>
    </row>
    <row r="103" spans="1:16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9" t="str">
        <f>_xlfn.XLOOKUP(orders!C103,customers!$A$2:$A$1001,customers!$B$2:$B$1001)</f>
        <v>Nickey Youles</v>
      </c>
      <c r="G103" s="9" t="str">
        <f>IF(_xlfn.XLOOKUP(orders!C103,customers!$A$2:$A$1001,customers!$C$2:$C$1001,,,)=0,"",_xlfn.XLOOKUP(orders!C103,customers!$A$2:$A$1001,customers!$C$2:$C$1001,,,))</f>
        <v>nyoules2t@reference.com</v>
      </c>
      <c r="H103" s="9" t="str">
        <f>_xlfn.XLOOKUP(C103,customers!$A$2:$A$1001,customers!$G$2:$G$1001,"")</f>
        <v>Ireland</v>
      </c>
      <c r="I103" s="10" t="str">
        <f>INDEX(products!$A$2:$G$49,MATCH(orders!$D103,products!$A$2:$A$49,0),MATCH(orders!I$1,products!$A$1:$G$1,0))</f>
        <v>Lib</v>
      </c>
      <c r="J103" s="10" t="str">
        <f>INDEX(products!$A$2:$G$49,MATCH(orders!$D103,products!$A$2:$A$49,0),MATCH(orders!J$1,products!$A$1:$G$1,0))</f>
        <v>D</v>
      </c>
      <c r="K103" s="11">
        <f>INDEX(products!$A$2:$G$49,MATCH(orders!$D103,products!$A$2:$A$49,0),MATCH(orders!K$1,products!$A$1:$G$1,0))</f>
        <v>2.5</v>
      </c>
      <c r="L103" s="12">
        <f>INDEX(products!$A$2:$G$49,MATCH(orders!$D103,products!$A$2:$A$49,0),MATCH(orders!L$1,products!$A$1:$G$1,0))</f>
        <v>29.784999999999997</v>
      </c>
      <c r="M103" s="12">
        <f t="shared" si="3"/>
        <v>148.92499999999998</v>
      </c>
      <c r="N103" s="10" t="str">
        <f t="shared" si="4"/>
        <v>Liberica</v>
      </c>
      <c r="O103" s="10" t="str">
        <f t="shared" si="5"/>
        <v>Dark</v>
      </c>
      <c r="P103" s="10" t="str">
        <f>_xlfn.XLOOKUP(Tableau1[[#This Row],[Customer ID]],customers!A$2:A$1001,customers!I$2:I$1001)</f>
        <v>Yes</v>
      </c>
    </row>
    <row r="104" spans="1:16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9" t="str">
        <f>_xlfn.XLOOKUP(orders!C104,customers!$A$2:$A$1001,customers!$B$2:$B$1001)</f>
        <v>Dyanna Aizikovitz</v>
      </c>
      <c r="G104" s="9" t="str">
        <f>IF(_xlfn.XLOOKUP(orders!C104,customers!$A$2:$A$1001,customers!$C$2:$C$1001,,,)=0,"",_xlfn.XLOOKUP(orders!C104,customers!$A$2:$A$1001,customers!$C$2:$C$1001,,,))</f>
        <v>daizikovitz2u@answers.com</v>
      </c>
      <c r="H104" s="9" t="str">
        <f>_xlfn.XLOOKUP(C104,customers!$A$2:$A$1001,customers!$G$2:$G$1001,"")</f>
        <v>Ireland</v>
      </c>
      <c r="I104" s="10" t="str">
        <f>INDEX(products!$A$2:$G$49,MATCH(orders!$D104,products!$A$2:$A$49,0),MATCH(orders!I$1,products!$A$1:$G$1,0))</f>
        <v>Lib</v>
      </c>
      <c r="J104" s="10" t="str">
        <f>INDEX(products!$A$2:$G$49,MATCH(orders!$D104,products!$A$2:$A$49,0),MATCH(orders!J$1,products!$A$1:$G$1,0))</f>
        <v>D</v>
      </c>
      <c r="K104" s="11">
        <f>INDEX(products!$A$2:$G$49,MATCH(orders!$D104,products!$A$2:$A$49,0),MATCH(orders!K$1,products!$A$1:$G$1,0))</f>
        <v>1</v>
      </c>
      <c r="L104" s="12">
        <f>INDEX(products!$A$2:$G$49,MATCH(orders!$D104,products!$A$2:$A$49,0),MATCH(orders!L$1,products!$A$1:$G$1,0))</f>
        <v>12.95</v>
      </c>
      <c r="M104" s="12">
        <f t="shared" si="3"/>
        <v>38.849999999999994</v>
      </c>
      <c r="N104" s="10" t="str">
        <f t="shared" si="4"/>
        <v>Liberica</v>
      </c>
      <c r="O104" s="10" t="str">
        <f t="shared" si="5"/>
        <v>Dark</v>
      </c>
      <c r="P104" s="10" t="str">
        <f>_xlfn.XLOOKUP(Tableau1[[#This Row],[Customer ID]],customers!A$2:A$1001,customers!I$2:I$1001)</f>
        <v>Yes</v>
      </c>
    </row>
    <row r="105" spans="1:16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9" t="str">
        <f>_xlfn.XLOOKUP(orders!C105,customers!$A$2:$A$1001,customers!$B$2:$B$1001)</f>
        <v>Bram Revel</v>
      </c>
      <c r="G105" s="9" t="str">
        <f>IF(_xlfn.XLOOKUP(orders!C105,customers!$A$2:$A$1001,customers!$C$2:$C$1001,,,)=0,"",_xlfn.XLOOKUP(orders!C105,customers!$A$2:$A$1001,customers!$C$2:$C$1001,,,))</f>
        <v>brevel2v@fastcompany.com</v>
      </c>
      <c r="H105" s="9" t="str">
        <f>_xlfn.XLOOKUP(C105,customers!$A$2:$A$1001,customers!$G$2:$G$1001,"")</f>
        <v>United States</v>
      </c>
      <c r="I105" s="10" t="str">
        <f>INDEX(products!$A$2:$G$49,MATCH(orders!$D105,products!$A$2:$A$49,0),MATCH(orders!I$1,products!$A$1:$G$1,0))</f>
        <v>Rob</v>
      </c>
      <c r="J105" s="10" t="str">
        <f>INDEX(products!$A$2:$G$49,MATCH(orders!$D105,products!$A$2:$A$49,0),MATCH(orders!J$1,products!$A$1:$G$1,0))</f>
        <v>M</v>
      </c>
      <c r="K105" s="11">
        <f>INDEX(products!$A$2:$G$49,MATCH(orders!$D105,products!$A$2:$A$49,0),MATCH(orders!K$1,products!$A$1:$G$1,0))</f>
        <v>0.2</v>
      </c>
      <c r="L105" s="12">
        <f>INDEX(products!$A$2:$G$49,MATCH(orders!$D105,products!$A$2:$A$49,0),MATCH(orders!L$1,products!$A$1:$G$1,0))</f>
        <v>2.9849999999999999</v>
      </c>
      <c r="M105" s="12">
        <f t="shared" si="3"/>
        <v>11.94</v>
      </c>
      <c r="N105" s="10" t="str">
        <f t="shared" si="4"/>
        <v>Robusta</v>
      </c>
      <c r="O105" s="10" t="str">
        <f t="shared" si="5"/>
        <v>Medium</v>
      </c>
      <c r="P105" s="10" t="str">
        <f>_xlfn.XLOOKUP(Tableau1[[#This Row],[Customer ID]],customers!A$2:A$1001,customers!I$2:I$1001)</f>
        <v>No</v>
      </c>
    </row>
    <row r="106" spans="1:16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9" t="str">
        <f>_xlfn.XLOOKUP(orders!C106,customers!$A$2:$A$1001,customers!$B$2:$B$1001)</f>
        <v>Emiline Priddis</v>
      </c>
      <c r="G106" s="9" t="str">
        <f>IF(_xlfn.XLOOKUP(orders!C106,customers!$A$2:$A$1001,customers!$C$2:$C$1001,,,)=0,"",_xlfn.XLOOKUP(orders!C106,customers!$A$2:$A$1001,customers!$C$2:$C$1001,,,))</f>
        <v>epriddis2w@nationalgeographic.com</v>
      </c>
      <c r="H106" s="9" t="str">
        <f>_xlfn.XLOOKUP(C106,customers!$A$2:$A$1001,customers!$G$2:$G$1001,"")</f>
        <v>United States</v>
      </c>
      <c r="I106" s="10" t="str">
        <f>INDEX(products!$A$2:$G$49,MATCH(orders!$D106,products!$A$2:$A$49,0),MATCH(orders!I$1,products!$A$1:$G$1,0))</f>
        <v>Lib</v>
      </c>
      <c r="J106" s="10" t="str">
        <f>INDEX(products!$A$2:$G$49,MATCH(orders!$D106,products!$A$2:$A$49,0),MATCH(orders!J$1,products!$A$1:$G$1,0))</f>
        <v>M</v>
      </c>
      <c r="K106" s="11">
        <f>INDEX(products!$A$2:$G$49,MATCH(orders!$D106,products!$A$2:$A$49,0),MATCH(orders!K$1,products!$A$1:$G$1,0))</f>
        <v>1</v>
      </c>
      <c r="L106" s="12">
        <f>INDEX(products!$A$2:$G$49,MATCH(orders!$D106,products!$A$2:$A$49,0),MATCH(orders!L$1,products!$A$1:$G$1,0))</f>
        <v>14.55</v>
      </c>
      <c r="M106" s="12">
        <f t="shared" si="3"/>
        <v>87.300000000000011</v>
      </c>
      <c r="N106" s="10" t="str">
        <f t="shared" si="4"/>
        <v>Liberica</v>
      </c>
      <c r="O106" s="10" t="str">
        <f t="shared" si="5"/>
        <v>Medium</v>
      </c>
      <c r="P106" s="10" t="str">
        <f>_xlfn.XLOOKUP(Tableau1[[#This Row],[Customer ID]],customers!A$2:A$1001,customers!I$2:I$1001)</f>
        <v>No</v>
      </c>
    </row>
    <row r="107" spans="1:16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9" t="str">
        <f>_xlfn.XLOOKUP(orders!C107,customers!$A$2:$A$1001,customers!$B$2:$B$1001)</f>
        <v>Queenie Veel</v>
      </c>
      <c r="G107" s="9" t="str">
        <f>IF(_xlfn.XLOOKUP(orders!C107,customers!$A$2:$A$1001,customers!$C$2:$C$1001,,,)=0,"",_xlfn.XLOOKUP(orders!C107,customers!$A$2:$A$1001,customers!$C$2:$C$1001,,,))</f>
        <v>qveel2x@jugem.jp</v>
      </c>
      <c r="H107" s="9" t="str">
        <f>_xlfn.XLOOKUP(C107,customers!$A$2:$A$1001,customers!$G$2:$G$1001,"")</f>
        <v>United States</v>
      </c>
      <c r="I107" s="10" t="str">
        <f>INDEX(products!$A$2:$G$49,MATCH(orders!$D107,products!$A$2:$A$49,0),MATCH(orders!I$1,products!$A$1:$G$1,0))</f>
        <v>Ara</v>
      </c>
      <c r="J107" s="10" t="str">
        <f>INDEX(products!$A$2:$G$49,MATCH(orders!$D107,products!$A$2:$A$49,0),MATCH(orders!J$1,products!$A$1:$G$1,0))</f>
        <v>M</v>
      </c>
      <c r="K107" s="11">
        <f>INDEX(products!$A$2:$G$49,MATCH(orders!$D107,products!$A$2:$A$49,0),MATCH(orders!K$1,products!$A$1:$G$1,0))</f>
        <v>0.5</v>
      </c>
      <c r="L107" s="12">
        <f>INDEX(products!$A$2:$G$49,MATCH(orders!$D107,products!$A$2:$A$49,0),MATCH(orders!L$1,products!$A$1:$G$1,0))</f>
        <v>6.75</v>
      </c>
      <c r="M107" s="12">
        <f t="shared" si="3"/>
        <v>40.5</v>
      </c>
      <c r="N107" s="10" t="str">
        <f t="shared" si="4"/>
        <v>Arabica</v>
      </c>
      <c r="O107" s="10" t="str">
        <f t="shared" si="5"/>
        <v>Medium</v>
      </c>
      <c r="P107" s="10" t="str">
        <f>_xlfn.XLOOKUP(Tableau1[[#This Row],[Customer ID]],customers!A$2:A$1001,customers!I$2:I$1001)</f>
        <v>Yes</v>
      </c>
    </row>
    <row r="108" spans="1:16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9" t="str">
        <f>_xlfn.XLOOKUP(orders!C108,customers!$A$2:$A$1001,customers!$B$2:$B$1001)</f>
        <v>Lind Conyers</v>
      </c>
      <c r="G108" s="9" t="str">
        <f>IF(_xlfn.XLOOKUP(orders!C108,customers!$A$2:$A$1001,customers!$C$2:$C$1001,,,)=0,"",_xlfn.XLOOKUP(orders!C108,customers!$A$2:$A$1001,customers!$C$2:$C$1001,,,))</f>
        <v>lconyers2y@twitter.com</v>
      </c>
      <c r="H108" s="9" t="str">
        <f>_xlfn.XLOOKUP(C108,customers!$A$2:$A$1001,customers!$G$2:$G$1001,"")</f>
        <v>United States</v>
      </c>
      <c r="I108" s="10" t="str">
        <f>INDEX(products!$A$2:$G$49,MATCH(orders!$D108,products!$A$2:$A$49,0),MATCH(orders!I$1,products!$A$1:$G$1,0))</f>
        <v>Exc</v>
      </c>
      <c r="J108" s="10" t="str">
        <f>INDEX(products!$A$2:$G$49,MATCH(orders!$D108,products!$A$2:$A$49,0),MATCH(orders!J$1,products!$A$1:$G$1,0))</f>
        <v>D</v>
      </c>
      <c r="K108" s="11">
        <f>INDEX(products!$A$2:$G$49,MATCH(orders!$D108,products!$A$2:$A$49,0),MATCH(orders!K$1,products!$A$1:$G$1,0))</f>
        <v>1</v>
      </c>
      <c r="L108" s="12">
        <f>INDEX(products!$A$2:$G$49,MATCH(orders!$D108,products!$A$2:$A$49,0),MATCH(orders!L$1,products!$A$1:$G$1,0))</f>
        <v>12.15</v>
      </c>
      <c r="M108" s="12">
        <f t="shared" si="3"/>
        <v>24.3</v>
      </c>
      <c r="N108" s="10" t="str">
        <f t="shared" si="4"/>
        <v>Excelsa</v>
      </c>
      <c r="O108" s="10" t="str">
        <f t="shared" si="5"/>
        <v>Dark</v>
      </c>
      <c r="P108" s="10" t="str">
        <f>_xlfn.XLOOKUP(Tableau1[[#This Row],[Customer ID]],customers!A$2:A$1001,customers!I$2:I$1001)</f>
        <v>No</v>
      </c>
    </row>
    <row r="109" spans="1:16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9" t="str">
        <f>_xlfn.XLOOKUP(orders!C109,customers!$A$2:$A$1001,customers!$B$2:$B$1001)</f>
        <v>Pen Wye</v>
      </c>
      <c r="G109" s="9" t="str">
        <f>IF(_xlfn.XLOOKUP(orders!C109,customers!$A$2:$A$1001,customers!$C$2:$C$1001,,,)=0,"",_xlfn.XLOOKUP(orders!C109,customers!$A$2:$A$1001,customers!$C$2:$C$1001,,,))</f>
        <v>pwye2z@dagondesign.com</v>
      </c>
      <c r="H109" s="9" t="str">
        <f>_xlfn.XLOOKUP(C109,customers!$A$2:$A$1001,customers!$G$2:$G$1001,"")</f>
        <v>United States</v>
      </c>
      <c r="I109" s="10" t="str">
        <f>INDEX(products!$A$2:$G$49,MATCH(orders!$D109,products!$A$2:$A$49,0),MATCH(orders!I$1,products!$A$1:$G$1,0))</f>
        <v>Rob</v>
      </c>
      <c r="J109" s="10" t="str">
        <f>INDEX(products!$A$2:$G$49,MATCH(orders!$D109,products!$A$2:$A$49,0),MATCH(orders!J$1,products!$A$1:$G$1,0))</f>
        <v>M</v>
      </c>
      <c r="K109" s="11">
        <f>INDEX(products!$A$2:$G$49,MATCH(orders!$D109,products!$A$2:$A$49,0),MATCH(orders!K$1,products!$A$1:$G$1,0))</f>
        <v>0.5</v>
      </c>
      <c r="L109" s="12">
        <f>INDEX(products!$A$2:$G$49,MATCH(orders!$D109,products!$A$2:$A$49,0),MATCH(orders!L$1,products!$A$1:$G$1,0))</f>
        <v>5.97</v>
      </c>
      <c r="M109" s="12">
        <f t="shared" si="3"/>
        <v>17.91</v>
      </c>
      <c r="N109" s="10" t="str">
        <f t="shared" si="4"/>
        <v>Robusta</v>
      </c>
      <c r="O109" s="10" t="str">
        <f t="shared" si="5"/>
        <v>Medium</v>
      </c>
      <c r="P109" s="10" t="str">
        <f>_xlfn.XLOOKUP(Tableau1[[#This Row],[Customer ID]],customers!A$2:A$1001,customers!I$2:I$1001)</f>
        <v>Yes</v>
      </c>
    </row>
    <row r="110" spans="1:16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9" t="str">
        <f>_xlfn.XLOOKUP(orders!C110,customers!$A$2:$A$1001,customers!$B$2:$B$1001)</f>
        <v>Isahella Hagland</v>
      </c>
      <c r="G110" s="9" t="str">
        <f>IF(_xlfn.XLOOKUP(orders!C110,customers!$A$2:$A$1001,customers!$C$2:$C$1001,,,)=0,"",_xlfn.XLOOKUP(orders!C110,customers!$A$2:$A$1001,customers!$C$2:$C$1001,,,))</f>
        <v/>
      </c>
      <c r="H110" s="9" t="str">
        <f>_xlfn.XLOOKUP(C110,customers!$A$2:$A$1001,customers!$G$2:$G$1001,"")</f>
        <v>United States</v>
      </c>
      <c r="I110" s="10" t="str">
        <f>INDEX(products!$A$2:$G$49,MATCH(orders!$D110,products!$A$2:$A$49,0),MATCH(orders!I$1,products!$A$1:$G$1,0))</f>
        <v>Ara</v>
      </c>
      <c r="J110" s="10" t="str">
        <f>INDEX(products!$A$2:$G$49,MATCH(orders!$D110,products!$A$2:$A$49,0),MATCH(orders!J$1,products!$A$1:$G$1,0))</f>
        <v>M</v>
      </c>
      <c r="K110" s="11">
        <f>INDEX(products!$A$2:$G$49,MATCH(orders!$D110,products!$A$2:$A$49,0),MATCH(orders!K$1,products!$A$1:$G$1,0))</f>
        <v>0.5</v>
      </c>
      <c r="L110" s="12">
        <f>INDEX(products!$A$2:$G$49,MATCH(orders!$D110,products!$A$2:$A$49,0),MATCH(orders!L$1,products!$A$1:$G$1,0))</f>
        <v>6.75</v>
      </c>
      <c r="M110" s="12">
        <f t="shared" si="3"/>
        <v>27</v>
      </c>
      <c r="N110" s="10" t="str">
        <f t="shared" si="4"/>
        <v>Arabica</v>
      </c>
      <c r="O110" s="10" t="str">
        <f t="shared" si="5"/>
        <v>Medium</v>
      </c>
      <c r="P110" s="10" t="str">
        <f>_xlfn.XLOOKUP(Tableau1[[#This Row],[Customer ID]],customers!A$2:A$1001,customers!I$2:I$1001)</f>
        <v>No</v>
      </c>
    </row>
    <row r="111" spans="1:16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9" t="str">
        <f>_xlfn.XLOOKUP(orders!C111,customers!$A$2:$A$1001,customers!$B$2:$B$1001)</f>
        <v>Terry Sheryn</v>
      </c>
      <c r="G111" s="9" t="str">
        <f>IF(_xlfn.XLOOKUP(orders!C111,customers!$A$2:$A$1001,customers!$C$2:$C$1001,,,)=0,"",_xlfn.XLOOKUP(orders!C111,customers!$A$2:$A$1001,customers!$C$2:$C$1001,,,))</f>
        <v>tsheryn31@mtv.com</v>
      </c>
      <c r="H111" s="9" t="str">
        <f>_xlfn.XLOOKUP(C111,customers!$A$2:$A$1001,customers!$G$2:$G$1001,"")</f>
        <v>United States</v>
      </c>
      <c r="I111" s="10" t="str">
        <f>INDEX(products!$A$2:$G$49,MATCH(orders!$D111,products!$A$2:$A$49,0),MATCH(orders!I$1,products!$A$1:$G$1,0))</f>
        <v>Lib</v>
      </c>
      <c r="J111" s="10" t="str">
        <f>INDEX(products!$A$2:$G$49,MATCH(orders!$D111,products!$A$2:$A$49,0),MATCH(orders!J$1,products!$A$1:$G$1,0))</f>
        <v>D</v>
      </c>
      <c r="K111" s="11">
        <f>INDEX(products!$A$2:$G$49,MATCH(orders!$D111,products!$A$2:$A$49,0),MATCH(orders!K$1,products!$A$1:$G$1,0))</f>
        <v>0.5</v>
      </c>
      <c r="L111" s="12">
        <f>INDEX(products!$A$2:$G$49,MATCH(orders!$D111,products!$A$2:$A$49,0),MATCH(orders!L$1,products!$A$1:$G$1,0))</f>
        <v>7.77</v>
      </c>
      <c r="M111" s="12">
        <f t="shared" si="3"/>
        <v>7.77</v>
      </c>
      <c r="N111" s="10" t="str">
        <f t="shared" si="4"/>
        <v>Liberica</v>
      </c>
      <c r="O111" s="10" t="str">
        <f t="shared" si="5"/>
        <v>Dark</v>
      </c>
      <c r="P111" s="10" t="str">
        <f>_xlfn.XLOOKUP(Tableau1[[#This Row],[Customer ID]],customers!A$2:A$1001,customers!I$2:I$1001)</f>
        <v>Yes</v>
      </c>
    </row>
    <row r="112" spans="1:16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9" t="str">
        <f>_xlfn.XLOOKUP(orders!C112,customers!$A$2:$A$1001,customers!$B$2:$B$1001)</f>
        <v>Marie-jeanne Redgrave</v>
      </c>
      <c r="G112" s="9" t="str">
        <f>IF(_xlfn.XLOOKUP(orders!C112,customers!$A$2:$A$1001,customers!$C$2:$C$1001,,,)=0,"",_xlfn.XLOOKUP(orders!C112,customers!$A$2:$A$1001,customers!$C$2:$C$1001,,,))</f>
        <v>mredgrave32@cargocollective.com</v>
      </c>
      <c r="H112" s="9" t="str">
        <f>_xlfn.XLOOKUP(C112,customers!$A$2:$A$1001,customers!$G$2:$G$1001,"")</f>
        <v>United States</v>
      </c>
      <c r="I112" s="10" t="str">
        <f>INDEX(products!$A$2:$G$49,MATCH(orders!$D112,products!$A$2:$A$49,0),MATCH(orders!I$1,products!$A$1:$G$1,0))</f>
        <v>Exc</v>
      </c>
      <c r="J112" s="10" t="str">
        <f>INDEX(products!$A$2:$G$49,MATCH(orders!$D112,products!$A$2:$A$49,0),MATCH(orders!J$1,products!$A$1:$G$1,0))</f>
        <v>L</v>
      </c>
      <c r="K112" s="11">
        <f>INDEX(products!$A$2:$G$49,MATCH(orders!$D112,products!$A$2:$A$49,0),MATCH(orders!K$1,products!$A$1:$G$1,0))</f>
        <v>0.2</v>
      </c>
      <c r="L112" s="12">
        <f>INDEX(products!$A$2:$G$49,MATCH(orders!$D112,products!$A$2:$A$49,0),MATCH(orders!L$1,products!$A$1:$G$1,0))</f>
        <v>4.4550000000000001</v>
      </c>
      <c r="M112" s="12">
        <f t="shared" si="3"/>
        <v>13.365</v>
      </c>
      <c r="N112" s="10" t="str">
        <f t="shared" si="4"/>
        <v>Excelsa</v>
      </c>
      <c r="O112" s="10" t="str">
        <f t="shared" si="5"/>
        <v>Light</v>
      </c>
      <c r="P112" s="10" t="str">
        <f>_xlfn.XLOOKUP(Tableau1[[#This Row],[Customer ID]],customers!A$2:A$1001,customers!I$2:I$1001)</f>
        <v>Yes</v>
      </c>
    </row>
    <row r="113" spans="1:16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9" t="str">
        <f>_xlfn.XLOOKUP(orders!C113,customers!$A$2:$A$1001,customers!$B$2:$B$1001)</f>
        <v>Betty Fominov</v>
      </c>
      <c r="G113" s="9" t="str">
        <f>IF(_xlfn.XLOOKUP(orders!C113,customers!$A$2:$A$1001,customers!$C$2:$C$1001,,,)=0,"",_xlfn.XLOOKUP(orders!C113,customers!$A$2:$A$1001,customers!$C$2:$C$1001,,,))</f>
        <v>bfominov33@yale.edu</v>
      </c>
      <c r="H113" s="9" t="str">
        <f>_xlfn.XLOOKUP(C113,customers!$A$2:$A$1001,customers!$G$2:$G$1001,"")</f>
        <v>United States</v>
      </c>
      <c r="I113" s="10" t="str">
        <f>INDEX(products!$A$2:$G$49,MATCH(orders!$D113,products!$A$2:$A$49,0),MATCH(orders!I$1,products!$A$1:$G$1,0))</f>
        <v>Rob</v>
      </c>
      <c r="J113" s="10" t="str">
        <f>INDEX(products!$A$2:$G$49,MATCH(orders!$D113,products!$A$2:$A$49,0),MATCH(orders!J$1,products!$A$1:$G$1,0))</f>
        <v>D</v>
      </c>
      <c r="K113" s="11">
        <f>INDEX(products!$A$2:$G$49,MATCH(orders!$D113,products!$A$2:$A$49,0),MATCH(orders!K$1,products!$A$1:$G$1,0))</f>
        <v>0.5</v>
      </c>
      <c r="L113" s="12">
        <f>INDEX(products!$A$2:$G$49,MATCH(orders!$D113,products!$A$2:$A$49,0),MATCH(orders!L$1,products!$A$1:$G$1,0))</f>
        <v>5.3699999999999992</v>
      </c>
      <c r="M113" s="12">
        <f t="shared" si="3"/>
        <v>26.849999999999994</v>
      </c>
      <c r="N113" s="10" t="str">
        <f t="shared" si="4"/>
        <v>Robusta</v>
      </c>
      <c r="O113" s="10" t="str">
        <f t="shared" si="5"/>
        <v>Dark</v>
      </c>
      <c r="P113" s="10" t="str">
        <f>_xlfn.XLOOKUP(Tableau1[[#This Row],[Customer ID]],customers!A$2:A$1001,customers!I$2:I$1001)</f>
        <v>No</v>
      </c>
    </row>
    <row r="114" spans="1:16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9" t="str">
        <f>_xlfn.XLOOKUP(orders!C114,customers!$A$2:$A$1001,customers!$B$2:$B$1001)</f>
        <v>Shawnee Critchlow</v>
      </c>
      <c r="G114" s="9" t="str">
        <f>IF(_xlfn.XLOOKUP(orders!C114,customers!$A$2:$A$1001,customers!$C$2:$C$1001,,,)=0,"",_xlfn.XLOOKUP(orders!C114,customers!$A$2:$A$1001,customers!$C$2:$C$1001,,,))</f>
        <v>scritchlow34@un.org</v>
      </c>
      <c r="H114" s="9" t="str">
        <f>_xlfn.XLOOKUP(C114,customers!$A$2:$A$1001,customers!$G$2:$G$1001,"")</f>
        <v>United States</v>
      </c>
      <c r="I114" s="10" t="str">
        <f>INDEX(products!$A$2:$G$49,MATCH(orders!$D114,products!$A$2:$A$49,0),MATCH(orders!I$1,products!$A$1:$G$1,0))</f>
        <v>Ara</v>
      </c>
      <c r="J114" s="10" t="str">
        <f>INDEX(products!$A$2:$G$49,MATCH(orders!$D114,products!$A$2:$A$49,0),MATCH(orders!J$1,products!$A$1:$G$1,0))</f>
        <v>M</v>
      </c>
      <c r="K114" s="11">
        <f>INDEX(products!$A$2:$G$49,MATCH(orders!$D114,products!$A$2:$A$49,0),MATCH(orders!K$1,products!$A$1:$G$1,0))</f>
        <v>1</v>
      </c>
      <c r="L114" s="12">
        <f>INDEX(products!$A$2:$G$49,MATCH(orders!$D114,products!$A$2:$A$49,0),MATCH(orders!L$1,products!$A$1:$G$1,0))</f>
        <v>11.25</v>
      </c>
      <c r="M114" s="12">
        <f t="shared" si="3"/>
        <v>11.25</v>
      </c>
      <c r="N114" s="10" t="str">
        <f t="shared" si="4"/>
        <v>Arabica</v>
      </c>
      <c r="O114" s="10" t="str">
        <f t="shared" si="5"/>
        <v>Medium</v>
      </c>
      <c r="P114" s="10" t="str">
        <f>_xlfn.XLOOKUP(Tableau1[[#This Row],[Customer ID]],customers!A$2:A$1001,customers!I$2:I$1001)</f>
        <v>No</v>
      </c>
    </row>
    <row r="115" spans="1:16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9" t="str">
        <f>_xlfn.XLOOKUP(orders!C115,customers!$A$2:$A$1001,customers!$B$2:$B$1001)</f>
        <v>Merrel Steptow</v>
      </c>
      <c r="G115" s="9" t="str">
        <f>IF(_xlfn.XLOOKUP(orders!C115,customers!$A$2:$A$1001,customers!$C$2:$C$1001,,,)=0,"",_xlfn.XLOOKUP(orders!C115,customers!$A$2:$A$1001,customers!$C$2:$C$1001,,,))</f>
        <v>msteptow35@earthlink.net</v>
      </c>
      <c r="H115" s="9" t="str">
        <f>_xlfn.XLOOKUP(C115,customers!$A$2:$A$1001,customers!$G$2:$G$1001,"")</f>
        <v>Ireland</v>
      </c>
      <c r="I115" s="10" t="str">
        <f>INDEX(products!$A$2:$G$49,MATCH(orders!$D115,products!$A$2:$A$49,0),MATCH(orders!I$1,products!$A$1:$G$1,0))</f>
        <v>Lib</v>
      </c>
      <c r="J115" s="10" t="str">
        <f>INDEX(products!$A$2:$G$49,MATCH(orders!$D115,products!$A$2:$A$49,0),MATCH(orders!J$1,products!$A$1:$G$1,0))</f>
        <v>M</v>
      </c>
      <c r="K115" s="11">
        <f>INDEX(products!$A$2:$G$49,MATCH(orders!$D115,products!$A$2:$A$49,0),MATCH(orders!K$1,products!$A$1:$G$1,0))</f>
        <v>1</v>
      </c>
      <c r="L115" s="12">
        <f>INDEX(products!$A$2:$G$49,MATCH(orders!$D115,products!$A$2:$A$49,0),MATCH(orders!L$1,products!$A$1:$G$1,0))</f>
        <v>14.55</v>
      </c>
      <c r="M115" s="12">
        <f t="shared" si="3"/>
        <v>14.55</v>
      </c>
      <c r="N115" s="10" t="str">
        <f t="shared" si="4"/>
        <v>Liberica</v>
      </c>
      <c r="O115" s="10" t="str">
        <f t="shared" si="5"/>
        <v>Medium</v>
      </c>
      <c r="P115" s="10" t="str">
        <f>_xlfn.XLOOKUP(Tableau1[[#This Row],[Customer ID]],customers!A$2:A$1001,customers!I$2:I$1001)</f>
        <v>No</v>
      </c>
    </row>
    <row r="116" spans="1:16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9" t="str">
        <f>_xlfn.XLOOKUP(orders!C116,customers!$A$2:$A$1001,customers!$B$2:$B$1001)</f>
        <v>Carmina Hubbuck</v>
      </c>
      <c r="G116" s="9" t="str">
        <f>IF(_xlfn.XLOOKUP(orders!C116,customers!$A$2:$A$1001,customers!$C$2:$C$1001,,,)=0,"",_xlfn.XLOOKUP(orders!C116,customers!$A$2:$A$1001,customers!$C$2:$C$1001,,,))</f>
        <v/>
      </c>
      <c r="H116" s="9" t="str">
        <f>_xlfn.XLOOKUP(C116,customers!$A$2:$A$1001,customers!$G$2:$G$1001,"")</f>
        <v>United States</v>
      </c>
      <c r="I116" s="10" t="str">
        <f>INDEX(products!$A$2:$G$49,MATCH(orders!$D116,products!$A$2:$A$49,0),MATCH(orders!I$1,products!$A$1:$G$1,0))</f>
        <v>Rob</v>
      </c>
      <c r="J116" s="10" t="str">
        <f>INDEX(products!$A$2:$G$49,MATCH(orders!$D116,products!$A$2:$A$49,0),MATCH(orders!J$1,products!$A$1:$G$1,0))</f>
        <v>L</v>
      </c>
      <c r="K116" s="11">
        <f>INDEX(products!$A$2:$G$49,MATCH(orders!$D116,products!$A$2:$A$49,0),MATCH(orders!K$1,products!$A$1:$G$1,0))</f>
        <v>0.2</v>
      </c>
      <c r="L116" s="12">
        <f>INDEX(products!$A$2:$G$49,MATCH(orders!$D116,products!$A$2:$A$49,0),MATCH(orders!L$1,products!$A$1:$G$1,0))</f>
        <v>3.5849999999999995</v>
      </c>
      <c r="M116" s="12">
        <f t="shared" si="3"/>
        <v>14.339999999999998</v>
      </c>
      <c r="N116" s="10" t="str">
        <f t="shared" si="4"/>
        <v>Robusta</v>
      </c>
      <c r="O116" s="10" t="str">
        <f t="shared" si="5"/>
        <v>Light</v>
      </c>
      <c r="P116" s="10" t="str">
        <f>_xlfn.XLOOKUP(Tableau1[[#This Row],[Customer ID]],customers!A$2:A$1001,customers!I$2:I$1001)</f>
        <v>No</v>
      </c>
    </row>
    <row r="117" spans="1:16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9" t="str">
        <f>_xlfn.XLOOKUP(orders!C117,customers!$A$2:$A$1001,customers!$B$2:$B$1001)</f>
        <v>Ingeberg Mulliner</v>
      </c>
      <c r="G117" s="9" t="str">
        <f>IF(_xlfn.XLOOKUP(orders!C117,customers!$A$2:$A$1001,customers!$C$2:$C$1001,,,)=0,"",_xlfn.XLOOKUP(orders!C117,customers!$A$2:$A$1001,customers!$C$2:$C$1001,,,))</f>
        <v>imulliner37@pinterest.com</v>
      </c>
      <c r="H117" s="9" t="str">
        <f>_xlfn.XLOOKUP(C117,customers!$A$2:$A$1001,customers!$G$2:$G$1001,"")</f>
        <v>United Kingdom</v>
      </c>
      <c r="I117" s="10" t="str">
        <f>INDEX(products!$A$2:$G$49,MATCH(orders!$D117,products!$A$2:$A$49,0),MATCH(orders!I$1,products!$A$1:$G$1,0))</f>
        <v>Lib</v>
      </c>
      <c r="J117" s="10" t="str">
        <f>INDEX(products!$A$2:$G$49,MATCH(orders!$D117,products!$A$2:$A$49,0),MATCH(orders!J$1,products!$A$1:$G$1,0))</f>
        <v>L</v>
      </c>
      <c r="K117" s="11">
        <f>INDEX(products!$A$2:$G$49,MATCH(orders!$D117,products!$A$2:$A$49,0),MATCH(orders!K$1,products!$A$1:$G$1,0))</f>
        <v>1</v>
      </c>
      <c r="L117" s="12">
        <f>INDEX(products!$A$2:$G$49,MATCH(orders!$D117,products!$A$2:$A$49,0),MATCH(orders!L$1,products!$A$1:$G$1,0))</f>
        <v>15.85</v>
      </c>
      <c r="M117" s="12">
        <f t="shared" si="3"/>
        <v>15.85</v>
      </c>
      <c r="N117" s="10" t="str">
        <f t="shared" si="4"/>
        <v>Liberica</v>
      </c>
      <c r="O117" s="10" t="str">
        <f t="shared" si="5"/>
        <v>Light</v>
      </c>
      <c r="P117" s="10" t="str">
        <f>_xlfn.XLOOKUP(Tableau1[[#This Row],[Customer ID]],customers!A$2:A$1001,customers!I$2:I$1001)</f>
        <v>No</v>
      </c>
    </row>
    <row r="118" spans="1:16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9" t="str">
        <f>_xlfn.XLOOKUP(orders!C118,customers!$A$2:$A$1001,customers!$B$2:$B$1001)</f>
        <v>Geneva Standley</v>
      </c>
      <c r="G118" s="9" t="str">
        <f>IF(_xlfn.XLOOKUP(orders!C118,customers!$A$2:$A$1001,customers!$C$2:$C$1001,,,)=0,"",_xlfn.XLOOKUP(orders!C118,customers!$A$2:$A$1001,customers!$C$2:$C$1001,,,))</f>
        <v>gstandley38@dion.ne.jp</v>
      </c>
      <c r="H118" s="9" t="str">
        <f>_xlfn.XLOOKUP(C118,customers!$A$2:$A$1001,customers!$G$2:$G$1001,"")</f>
        <v>Ireland</v>
      </c>
      <c r="I118" s="10" t="str">
        <f>INDEX(products!$A$2:$G$49,MATCH(orders!$D118,products!$A$2:$A$49,0),MATCH(orders!I$1,products!$A$1:$G$1,0))</f>
        <v>Lib</v>
      </c>
      <c r="J118" s="10" t="str">
        <f>INDEX(products!$A$2:$G$49,MATCH(orders!$D118,products!$A$2:$A$49,0),MATCH(orders!J$1,products!$A$1:$G$1,0))</f>
        <v>L</v>
      </c>
      <c r="K118" s="11">
        <f>INDEX(products!$A$2:$G$49,MATCH(orders!$D118,products!$A$2:$A$49,0),MATCH(orders!K$1,products!$A$1:$G$1,0))</f>
        <v>0.2</v>
      </c>
      <c r="L118" s="12">
        <f>INDEX(products!$A$2:$G$49,MATCH(orders!$D118,products!$A$2:$A$49,0),MATCH(orders!L$1,products!$A$1:$G$1,0))</f>
        <v>4.7549999999999999</v>
      </c>
      <c r="M118" s="12">
        <f t="shared" si="3"/>
        <v>19.02</v>
      </c>
      <c r="N118" s="10" t="str">
        <f t="shared" si="4"/>
        <v>Liberica</v>
      </c>
      <c r="O118" s="10" t="str">
        <f t="shared" si="5"/>
        <v>Light</v>
      </c>
      <c r="P118" s="10" t="str">
        <f>_xlfn.XLOOKUP(Tableau1[[#This Row],[Customer ID]],customers!A$2:A$1001,customers!I$2:I$1001)</f>
        <v>Yes</v>
      </c>
    </row>
    <row r="119" spans="1:16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9" t="str">
        <f>_xlfn.XLOOKUP(orders!C119,customers!$A$2:$A$1001,customers!$B$2:$B$1001)</f>
        <v>Brook Drage</v>
      </c>
      <c r="G119" s="9" t="str">
        <f>IF(_xlfn.XLOOKUP(orders!C119,customers!$A$2:$A$1001,customers!$C$2:$C$1001,,,)=0,"",_xlfn.XLOOKUP(orders!C119,customers!$A$2:$A$1001,customers!$C$2:$C$1001,,,))</f>
        <v>bdrage39@youku.com</v>
      </c>
      <c r="H119" s="9" t="str">
        <f>_xlfn.XLOOKUP(C119,customers!$A$2:$A$1001,customers!$G$2:$G$1001,"")</f>
        <v>United States</v>
      </c>
      <c r="I119" s="10" t="str">
        <f>INDEX(products!$A$2:$G$49,MATCH(orders!$D119,products!$A$2:$A$49,0),MATCH(orders!I$1,products!$A$1:$G$1,0))</f>
        <v>Lib</v>
      </c>
      <c r="J119" s="10" t="str">
        <f>INDEX(products!$A$2:$G$49,MATCH(orders!$D119,products!$A$2:$A$49,0),MATCH(orders!J$1,products!$A$1:$G$1,0))</f>
        <v>L</v>
      </c>
      <c r="K119" s="11">
        <f>INDEX(products!$A$2:$G$49,MATCH(orders!$D119,products!$A$2:$A$49,0),MATCH(orders!K$1,products!$A$1:$G$1,0))</f>
        <v>0.5</v>
      </c>
      <c r="L119" s="12">
        <f>INDEX(products!$A$2:$G$49,MATCH(orders!$D119,products!$A$2:$A$49,0),MATCH(orders!L$1,products!$A$1:$G$1,0))</f>
        <v>9.51</v>
      </c>
      <c r="M119" s="12">
        <f t="shared" si="3"/>
        <v>38.04</v>
      </c>
      <c r="N119" s="10" t="str">
        <f t="shared" si="4"/>
        <v>Liberica</v>
      </c>
      <c r="O119" s="10" t="str">
        <f t="shared" si="5"/>
        <v>Light</v>
      </c>
      <c r="P119" s="10" t="str">
        <f>_xlfn.XLOOKUP(Tableau1[[#This Row],[Customer ID]],customers!A$2:A$1001,customers!I$2:I$1001)</f>
        <v>No</v>
      </c>
    </row>
    <row r="120" spans="1:16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9" t="str">
        <f>_xlfn.XLOOKUP(orders!C120,customers!$A$2:$A$1001,customers!$B$2:$B$1001)</f>
        <v>Muffin Yallop</v>
      </c>
      <c r="G120" s="9" t="str">
        <f>IF(_xlfn.XLOOKUP(orders!C120,customers!$A$2:$A$1001,customers!$C$2:$C$1001,,,)=0,"",_xlfn.XLOOKUP(orders!C120,customers!$A$2:$A$1001,customers!$C$2:$C$1001,,,))</f>
        <v>myallop3a@fema.gov</v>
      </c>
      <c r="H120" s="9" t="str">
        <f>_xlfn.XLOOKUP(C120,customers!$A$2:$A$1001,customers!$G$2:$G$1001,"")</f>
        <v>United States</v>
      </c>
      <c r="I120" s="10" t="str">
        <f>INDEX(products!$A$2:$G$49,MATCH(orders!$D120,products!$A$2:$A$49,0),MATCH(orders!I$1,products!$A$1:$G$1,0))</f>
        <v>Exc</v>
      </c>
      <c r="J120" s="10" t="str">
        <f>INDEX(products!$A$2:$G$49,MATCH(orders!$D120,products!$A$2:$A$49,0),MATCH(orders!J$1,products!$A$1:$G$1,0))</f>
        <v>D</v>
      </c>
      <c r="K120" s="11">
        <f>INDEX(products!$A$2:$G$49,MATCH(orders!$D120,products!$A$2:$A$49,0),MATCH(orders!K$1,products!$A$1:$G$1,0))</f>
        <v>0.5</v>
      </c>
      <c r="L120" s="12">
        <f>INDEX(products!$A$2:$G$49,MATCH(orders!$D120,products!$A$2:$A$49,0),MATCH(orders!L$1,products!$A$1:$G$1,0))</f>
        <v>7.29</v>
      </c>
      <c r="M120" s="12">
        <f t="shared" si="3"/>
        <v>21.87</v>
      </c>
      <c r="N120" s="10" t="str">
        <f t="shared" si="4"/>
        <v>Excelsa</v>
      </c>
      <c r="O120" s="10" t="str">
        <f t="shared" si="5"/>
        <v>Dark</v>
      </c>
      <c r="P120" s="10" t="str">
        <f>_xlfn.XLOOKUP(Tableau1[[#This Row],[Customer ID]],customers!A$2:A$1001,customers!I$2:I$1001)</f>
        <v>Yes</v>
      </c>
    </row>
    <row r="121" spans="1:16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9" t="str">
        <f>_xlfn.XLOOKUP(orders!C121,customers!$A$2:$A$1001,customers!$B$2:$B$1001)</f>
        <v>Cordi Switsur</v>
      </c>
      <c r="G121" s="9" t="str">
        <f>IF(_xlfn.XLOOKUP(orders!C121,customers!$A$2:$A$1001,customers!$C$2:$C$1001,,,)=0,"",_xlfn.XLOOKUP(orders!C121,customers!$A$2:$A$1001,customers!$C$2:$C$1001,,,))</f>
        <v>cswitsur3b@chronoengine.com</v>
      </c>
      <c r="H121" s="9" t="str">
        <f>_xlfn.XLOOKUP(C121,customers!$A$2:$A$1001,customers!$G$2:$G$1001,"")</f>
        <v>United States</v>
      </c>
      <c r="I121" s="10" t="str">
        <f>INDEX(products!$A$2:$G$49,MATCH(orders!$D121,products!$A$2:$A$49,0),MATCH(orders!I$1,products!$A$1:$G$1,0))</f>
        <v>Exc</v>
      </c>
      <c r="J121" s="10" t="str">
        <f>INDEX(products!$A$2:$G$49,MATCH(orders!$D121,products!$A$2:$A$49,0),MATCH(orders!J$1,products!$A$1:$G$1,0))</f>
        <v>M</v>
      </c>
      <c r="K121" s="11">
        <f>INDEX(products!$A$2:$G$49,MATCH(orders!$D121,products!$A$2:$A$49,0),MATCH(orders!K$1,products!$A$1:$G$1,0))</f>
        <v>0.2</v>
      </c>
      <c r="L121" s="12">
        <f>INDEX(products!$A$2:$G$49,MATCH(orders!$D121,products!$A$2:$A$49,0),MATCH(orders!L$1,products!$A$1:$G$1,0))</f>
        <v>4.125</v>
      </c>
      <c r="M121" s="12">
        <f t="shared" si="3"/>
        <v>4.125</v>
      </c>
      <c r="N121" s="10" t="str">
        <f t="shared" si="4"/>
        <v>Excelsa</v>
      </c>
      <c r="O121" s="10" t="str">
        <f t="shared" si="5"/>
        <v>Medium</v>
      </c>
      <c r="P121" s="10" t="str">
        <f>_xlfn.XLOOKUP(Tableau1[[#This Row],[Customer ID]],customers!A$2:A$1001,customers!I$2:I$1001)</f>
        <v>No</v>
      </c>
    </row>
    <row r="122" spans="1:16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9" t="str">
        <f>_xlfn.XLOOKUP(orders!C122,customers!$A$2:$A$1001,customers!$B$2:$B$1001)</f>
        <v>Cordi Switsur</v>
      </c>
      <c r="G122" s="9" t="str">
        <f>IF(_xlfn.XLOOKUP(orders!C122,customers!$A$2:$A$1001,customers!$C$2:$C$1001,,,)=0,"",_xlfn.XLOOKUP(orders!C122,customers!$A$2:$A$1001,customers!$C$2:$C$1001,,,))</f>
        <v>cswitsur3b@chronoengine.com</v>
      </c>
      <c r="H122" s="9" t="str">
        <f>_xlfn.XLOOKUP(C122,customers!$A$2:$A$1001,customers!$G$2:$G$1001,"")</f>
        <v>United States</v>
      </c>
      <c r="I122" s="10" t="str">
        <f>INDEX(products!$A$2:$G$49,MATCH(orders!$D122,products!$A$2:$A$49,0),MATCH(orders!I$1,products!$A$1:$G$1,0))</f>
        <v>Ara</v>
      </c>
      <c r="J122" s="10" t="str">
        <f>INDEX(products!$A$2:$G$49,MATCH(orders!$D122,products!$A$2:$A$49,0),MATCH(orders!J$1,products!$A$1:$G$1,0))</f>
        <v>L</v>
      </c>
      <c r="K122" s="11">
        <f>INDEX(products!$A$2:$G$49,MATCH(orders!$D122,products!$A$2:$A$49,0),MATCH(orders!K$1,products!$A$1:$G$1,0))</f>
        <v>0.2</v>
      </c>
      <c r="L122" s="12">
        <f>INDEX(products!$A$2:$G$49,MATCH(orders!$D122,products!$A$2:$A$49,0),MATCH(orders!L$1,products!$A$1:$G$1,0))</f>
        <v>3.8849999999999998</v>
      </c>
      <c r="M122" s="12">
        <f t="shared" si="3"/>
        <v>3.8849999999999998</v>
      </c>
      <c r="N122" s="10" t="str">
        <f t="shared" si="4"/>
        <v>Arabica</v>
      </c>
      <c r="O122" s="10" t="str">
        <f t="shared" si="5"/>
        <v>Light</v>
      </c>
      <c r="P122" s="10" t="str">
        <f>_xlfn.XLOOKUP(Tableau1[[#This Row],[Customer ID]],customers!A$2:A$1001,customers!I$2:I$1001)</f>
        <v>No</v>
      </c>
    </row>
    <row r="123" spans="1:16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9" t="str">
        <f>_xlfn.XLOOKUP(orders!C123,customers!$A$2:$A$1001,customers!$B$2:$B$1001)</f>
        <v>Cordi Switsur</v>
      </c>
      <c r="G123" s="9" t="str">
        <f>IF(_xlfn.XLOOKUP(orders!C123,customers!$A$2:$A$1001,customers!$C$2:$C$1001,,,)=0,"",_xlfn.XLOOKUP(orders!C123,customers!$A$2:$A$1001,customers!$C$2:$C$1001,,,))</f>
        <v>cswitsur3b@chronoengine.com</v>
      </c>
      <c r="H123" s="9" t="str">
        <f>_xlfn.XLOOKUP(C123,customers!$A$2:$A$1001,customers!$G$2:$G$1001,"")</f>
        <v>United States</v>
      </c>
      <c r="I123" s="10" t="str">
        <f>INDEX(products!$A$2:$G$49,MATCH(orders!$D123,products!$A$2:$A$49,0),MATCH(orders!I$1,products!$A$1:$G$1,0))</f>
        <v>Exc</v>
      </c>
      <c r="J123" s="10" t="str">
        <f>INDEX(products!$A$2:$G$49,MATCH(orders!$D123,products!$A$2:$A$49,0),MATCH(orders!J$1,products!$A$1:$G$1,0))</f>
        <v>M</v>
      </c>
      <c r="K123" s="11">
        <f>INDEX(products!$A$2:$G$49,MATCH(orders!$D123,products!$A$2:$A$49,0),MATCH(orders!K$1,products!$A$1:$G$1,0))</f>
        <v>1</v>
      </c>
      <c r="L123" s="12">
        <f>INDEX(products!$A$2:$G$49,MATCH(orders!$D123,products!$A$2:$A$49,0),MATCH(orders!L$1,products!$A$1:$G$1,0))</f>
        <v>13.75</v>
      </c>
      <c r="M123" s="12">
        <f t="shared" si="3"/>
        <v>68.75</v>
      </c>
      <c r="N123" s="10" t="str">
        <f t="shared" si="4"/>
        <v>Excelsa</v>
      </c>
      <c r="O123" s="10" t="str">
        <f t="shared" si="5"/>
        <v>Medium</v>
      </c>
      <c r="P123" s="10" t="str">
        <f>_xlfn.XLOOKUP(Tableau1[[#This Row],[Customer ID]],customers!A$2:A$1001,customers!I$2:I$1001)</f>
        <v>No</v>
      </c>
    </row>
    <row r="124" spans="1:16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9" t="str">
        <f>_xlfn.XLOOKUP(orders!C124,customers!$A$2:$A$1001,customers!$B$2:$B$1001)</f>
        <v>Mahala Ludwell</v>
      </c>
      <c r="G124" s="9" t="str">
        <f>IF(_xlfn.XLOOKUP(orders!C124,customers!$A$2:$A$1001,customers!$C$2:$C$1001,,,)=0,"",_xlfn.XLOOKUP(orders!C124,customers!$A$2:$A$1001,customers!$C$2:$C$1001,,,))</f>
        <v>mludwell3e@blogger.com</v>
      </c>
      <c r="H124" s="9" t="str">
        <f>_xlfn.XLOOKUP(C124,customers!$A$2:$A$1001,customers!$G$2:$G$1001,"")</f>
        <v>United States</v>
      </c>
      <c r="I124" s="10" t="str">
        <f>INDEX(products!$A$2:$G$49,MATCH(orders!$D124,products!$A$2:$A$49,0),MATCH(orders!I$1,products!$A$1:$G$1,0))</f>
        <v>Ara</v>
      </c>
      <c r="J124" s="10" t="str">
        <f>INDEX(products!$A$2:$G$49,MATCH(orders!$D124,products!$A$2:$A$49,0),MATCH(orders!J$1,products!$A$1:$G$1,0))</f>
        <v>D</v>
      </c>
      <c r="K124" s="11">
        <f>INDEX(products!$A$2:$G$49,MATCH(orders!$D124,products!$A$2:$A$49,0),MATCH(orders!K$1,products!$A$1:$G$1,0))</f>
        <v>0.5</v>
      </c>
      <c r="L124" s="12">
        <f>INDEX(products!$A$2:$G$49,MATCH(orders!$D124,products!$A$2:$A$49,0),MATCH(orders!L$1,products!$A$1:$G$1,0))</f>
        <v>5.97</v>
      </c>
      <c r="M124" s="12">
        <f t="shared" si="3"/>
        <v>23.88</v>
      </c>
      <c r="N124" s="10" t="str">
        <f t="shared" si="4"/>
        <v>Arabica</v>
      </c>
      <c r="O124" s="10" t="str">
        <f t="shared" si="5"/>
        <v>Dark</v>
      </c>
      <c r="P124" s="10" t="str">
        <f>_xlfn.XLOOKUP(Tableau1[[#This Row],[Customer ID]],customers!A$2:A$1001,customers!I$2:I$1001)</f>
        <v>Yes</v>
      </c>
    </row>
    <row r="125" spans="1:16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9" t="str">
        <f>_xlfn.XLOOKUP(orders!C125,customers!$A$2:$A$1001,customers!$B$2:$B$1001)</f>
        <v>Doll Beauchamp</v>
      </c>
      <c r="G125" s="9" t="str">
        <f>IF(_xlfn.XLOOKUP(orders!C125,customers!$A$2:$A$1001,customers!$C$2:$C$1001,,,)=0,"",_xlfn.XLOOKUP(orders!C125,customers!$A$2:$A$1001,customers!$C$2:$C$1001,,,))</f>
        <v>dbeauchamp3f@usda.gov</v>
      </c>
      <c r="H125" s="9" t="str">
        <f>_xlfn.XLOOKUP(C125,customers!$A$2:$A$1001,customers!$G$2:$G$1001,"")</f>
        <v>United States</v>
      </c>
      <c r="I125" s="10" t="str">
        <f>INDEX(products!$A$2:$G$49,MATCH(orders!$D125,products!$A$2:$A$49,0),MATCH(orders!I$1,products!$A$1:$G$1,0))</f>
        <v>Lib</v>
      </c>
      <c r="J125" s="10" t="str">
        <f>INDEX(products!$A$2:$G$49,MATCH(orders!$D125,products!$A$2:$A$49,0),MATCH(orders!J$1,products!$A$1:$G$1,0))</f>
        <v>L</v>
      </c>
      <c r="K125" s="11">
        <f>INDEX(products!$A$2:$G$49,MATCH(orders!$D125,products!$A$2:$A$49,0),MATCH(orders!K$1,products!$A$1:$G$1,0))</f>
        <v>2.5</v>
      </c>
      <c r="L125" s="12">
        <f>INDEX(products!$A$2:$G$49,MATCH(orders!$D125,products!$A$2:$A$49,0),MATCH(orders!L$1,products!$A$1:$G$1,0))</f>
        <v>36.454999999999998</v>
      </c>
      <c r="M125" s="12">
        <f t="shared" si="3"/>
        <v>145.82</v>
      </c>
      <c r="N125" s="10" t="str">
        <f t="shared" si="4"/>
        <v>Liberica</v>
      </c>
      <c r="O125" s="10" t="str">
        <f t="shared" si="5"/>
        <v>Light</v>
      </c>
      <c r="P125" s="10" t="str">
        <f>_xlfn.XLOOKUP(Tableau1[[#This Row],[Customer ID]],customers!A$2:A$1001,customers!I$2:I$1001)</f>
        <v>No</v>
      </c>
    </row>
    <row r="126" spans="1:16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9" t="str">
        <f>_xlfn.XLOOKUP(orders!C126,customers!$A$2:$A$1001,customers!$B$2:$B$1001)</f>
        <v>Stanford Rodliff</v>
      </c>
      <c r="G126" s="9" t="str">
        <f>IF(_xlfn.XLOOKUP(orders!C126,customers!$A$2:$A$1001,customers!$C$2:$C$1001,,,)=0,"",_xlfn.XLOOKUP(orders!C126,customers!$A$2:$A$1001,customers!$C$2:$C$1001,,,))</f>
        <v>srodliff3g@ted.com</v>
      </c>
      <c r="H126" s="9" t="str">
        <f>_xlfn.XLOOKUP(C126,customers!$A$2:$A$1001,customers!$G$2:$G$1001,"")</f>
        <v>United States</v>
      </c>
      <c r="I126" s="10" t="str">
        <f>INDEX(products!$A$2:$G$49,MATCH(orders!$D126,products!$A$2:$A$49,0),MATCH(orders!I$1,products!$A$1:$G$1,0))</f>
        <v>Lib</v>
      </c>
      <c r="J126" s="10" t="str">
        <f>INDEX(products!$A$2:$G$49,MATCH(orders!$D126,products!$A$2:$A$49,0),MATCH(orders!J$1,products!$A$1:$G$1,0))</f>
        <v>M</v>
      </c>
      <c r="K126" s="11">
        <f>INDEX(products!$A$2:$G$49,MATCH(orders!$D126,products!$A$2:$A$49,0),MATCH(orders!K$1,products!$A$1:$G$1,0))</f>
        <v>0.2</v>
      </c>
      <c r="L126" s="12">
        <f>INDEX(products!$A$2:$G$49,MATCH(orders!$D126,products!$A$2:$A$49,0),MATCH(orders!L$1,products!$A$1:$G$1,0))</f>
        <v>4.3650000000000002</v>
      </c>
      <c r="M126" s="12">
        <f t="shared" si="3"/>
        <v>21.825000000000003</v>
      </c>
      <c r="N126" s="10" t="str">
        <f t="shared" si="4"/>
        <v>Liberica</v>
      </c>
      <c r="O126" s="10" t="str">
        <f t="shared" si="5"/>
        <v>Medium</v>
      </c>
      <c r="P126" s="10" t="str">
        <f>_xlfn.XLOOKUP(Tableau1[[#This Row],[Customer ID]],customers!A$2:A$1001,customers!I$2:I$1001)</f>
        <v>Yes</v>
      </c>
    </row>
    <row r="127" spans="1:16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9" t="str">
        <f>_xlfn.XLOOKUP(orders!C127,customers!$A$2:$A$1001,customers!$B$2:$B$1001)</f>
        <v>Stevana Woodham</v>
      </c>
      <c r="G127" s="9" t="str">
        <f>IF(_xlfn.XLOOKUP(orders!C127,customers!$A$2:$A$1001,customers!$C$2:$C$1001,,,)=0,"",_xlfn.XLOOKUP(orders!C127,customers!$A$2:$A$1001,customers!$C$2:$C$1001,,,))</f>
        <v>swoodham3h@businesswire.com</v>
      </c>
      <c r="H127" s="9" t="str">
        <f>_xlfn.XLOOKUP(C127,customers!$A$2:$A$1001,customers!$G$2:$G$1001,"")</f>
        <v>Ireland</v>
      </c>
      <c r="I127" s="10" t="str">
        <f>INDEX(products!$A$2:$G$49,MATCH(orders!$D127,products!$A$2:$A$49,0),MATCH(orders!I$1,products!$A$1:$G$1,0))</f>
        <v>Lib</v>
      </c>
      <c r="J127" s="10" t="str">
        <f>INDEX(products!$A$2:$G$49,MATCH(orders!$D127,products!$A$2:$A$49,0),MATCH(orders!J$1,products!$A$1:$G$1,0))</f>
        <v>M</v>
      </c>
      <c r="K127" s="11">
        <f>INDEX(products!$A$2:$G$49,MATCH(orders!$D127,products!$A$2:$A$49,0),MATCH(orders!K$1,products!$A$1:$G$1,0))</f>
        <v>0.5</v>
      </c>
      <c r="L127" s="12">
        <f>INDEX(products!$A$2:$G$49,MATCH(orders!$D127,products!$A$2:$A$49,0),MATCH(orders!L$1,products!$A$1:$G$1,0))</f>
        <v>8.73</v>
      </c>
      <c r="M127" s="12">
        <f t="shared" si="3"/>
        <v>26.19</v>
      </c>
      <c r="N127" s="10" t="str">
        <f t="shared" si="4"/>
        <v>Liberica</v>
      </c>
      <c r="O127" s="10" t="str">
        <f t="shared" si="5"/>
        <v>Medium</v>
      </c>
      <c r="P127" s="10" t="str">
        <f>_xlfn.XLOOKUP(Tableau1[[#This Row],[Customer ID]],customers!A$2:A$1001,customers!I$2:I$1001)</f>
        <v>Yes</v>
      </c>
    </row>
    <row r="128" spans="1:16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9" t="str">
        <f>_xlfn.XLOOKUP(orders!C128,customers!$A$2:$A$1001,customers!$B$2:$B$1001)</f>
        <v>Hewet Synnot</v>
      </c>
      <c r="G128" s="9" t="str">
        <f>IF(_xlfn.XLOOKUP(orders!C128,customers!$A$2:$A$1001,customers!$C$2:$C$1001,,,)=0,"",_xlfn.XLOOKUP(orders!C128,customers!$A$2:$A$1001,customers!$C$2:$C$1001,,,))</f>
        <v>hsynnot3i@about.com</v>
      </c>
      <c r="H128" s="9" t="str">
        <f>_xlfn.XLOOKUP(C128,customers!$A$2:$A$1001,customers!$G$2:$G$1001,"")</f>
        <v>United States</v>
      </c>
      <c r="I128" s="10" t="str">
        <f>INDEX(products!$A$2:$G$49,MATCH(orders!$D128,products!$A$2:$A$49,0),MATCH(orders!I$1,products!$A$1:$G$1,0))</f>
        <v>Ara</v>
      </c>
      <c r="J128" s="10" t="str">
        <f>INDEX(products!$A$2:$G$49,MATCH(orders!$D128,products!$A$2:$A$49,0),MATCH(orders!J$1,products!$A$1:$G$1,0))</f>
        <v>M</v>
      </c>
      <c r="K128" s="11">
        <f>INDEX(products!$A$2:$G$49,MATCH(orders!$D128,products!$A$2:$A$49,0),MATCH(orders!K$1,products!$A$1:$G$1,0))</f>
        <v>1</v>
      </c>
      <c r="L128" s="12">
        <f>INDEX(products!$A$2:$G$49,MATCH(orders!$D128,products!$A$2:$A$49,0),MATCH(orders!L$1,products!$A$1:$G$1,0))</f>
        <v>11.25</v>
      </c>
      <c r="M128" s="12">
        <f t="shared" si="3"/>
        <v>11.25</v>
      </c>
      <c r="N128" s="10" t="str">
        <f t="shared" si="4"/>
        <v>Arabica</v>
      </c>
      <c r="O128" s="10" t="str">
        <f t="shared" si="5"/>
        <v>Medium</v>
      </c>
      <c r="P128" s="10" t="str">
        <f>_xlfn.XLOOKUP(Tableau1[[#This Row],[Customer ID]],customers!A$2:A$1001,customers!I$2:I$1001)</f>
        <v>No</v>
      </c>
    </row>
    <row r="129" spans="1:16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9" t="str">
        <f>_xlfn.XLOOKUP(orders!C129,customers!$A$2:$A$1001,customers!$B$2:$B$1001)</f>
        <v>Raleigh Lepere</v>
      </c>
      <c r="G129" s="9" t="str">
        <f>IF(_xlfn.XLOOKUP(orders!C129,customers!$A$2:$A$1001,customers!$C$2:$C$1001,,,)=0,"",_xlfn.XLOOKUP(orders!C129,customers!$A$2:$A$1001,customers!$C$2:$C$1001,,,))</f>
        <v>rlepere3j@shop-pro.jp</v>
      </c>
      <c r="H129" s="9" t="str">
        <f>_xlfn.XLOOKUP(C129,customers!$A$2:$A$1001,customers!$G$2:$G$1001,"")</f>
        <v>Ireland</v>
      </c>
      <c r="I129" s="10" t="str">
        <f>INDEX(products!$A$2:$G$49,MATCH(orders!$D129,products!$A$2:$A$49,0),MATCH(orders!I$1,products!$A$1:$G$1,0))</f>
        <v>Lib</v>
      </c>
      <c r="J129" s="10" t="str">
        <f>INDEX(products!$A$2:$G$49,MATCH(orders!$D129,products!$A$2:$A$49,0),MATCH(orders!J$1,products!$A$1:$G$1,0))</f>
        <v>D</v>
      </c>
      <c r="K129" s="11">
        <f>INDEX(products!$A$2:$G$49,MATCH(orders!$D129,products!$A$2:$A$49,0),MATCH(orders!K$1,products!$A$1:$G$1,0))</f>
        <v>1</v>
      </c>
      <c r="L129" s="12">
        <f>INDEX(products!$A$2:$G$49,MATCH(orders!$D129,products!$A$2:$A$49,0),MATCH(orders!L$1,products!$A$1:$G$1,0))</f>
        <v>12.95</v>
      </c>
      <c r="M129" s="12">
        <f t="shared" si="3"/>
        <v>77.699999999999989</v>
      </c>
      <c r="N129" s="10" t="str">
        <f t="shared" si="4"/>
        <v>Liberica</v>
      </c>
      <c r="O129" s="10" t="str">
        <f t="shared" si="5"/>
        <v>Dark</v>
      </c>
      <c r="P129" s="10" t="str">
        <f>_xlfn.XLOOKUP(Tableau1[[#This Row],[Customer ID]],customers!A$2:A$1001,customers!I$2:I$1001)</f>
        <v>No</v>
      </c>
    </row>
    <row r="130" spans="1:16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9" t="str">
        <f>_xlfn.XLOOKUP(orders!C130,customers!$A$2:$A$1001,customers!$B$2:$B$1001)</f>
        <v>Timofei Woofinden</v>
      </c>
      <c r="G130" s="9" t="str">
        <f>IF(_xlfn.XLOOKUP(orders!C130,customers!$A$2:$A$1001,customers!$C$2:$C$1001,,,)=0,"",_xlfn.XLOOKUP(orders!C130,customers!$A$2:$A$1001,customers!$C$2:$C$1001,,,))</f>
        <v>twoofinden3k@businesswire.com</v>
      </c>
      <c r="H130" s="9" t="str">
        <f>_xlfn.XLOOKUP(C130,customers!$A$2:$A$1001,customers!$G$2:$G$1001,"")</f>
        <v>United States</v>
      </c>
      <c r="I130" s="10" t="str">
        <f>INDEX(products!$A$2:$G$49,MATCH(orders!$D130,products!$A$2:$A$49,0),MATCH(orders!I$1,products!$A$1:$G$1,0))</f>
        <v>Ara</v>
      </c>
      <c r="J130" s="10" t="str">
        <f>INDEX(products!$A$2:$G$49,MATCH(orders!$D130,products!$A$2:$A$49,0),MATCH(orders!J$1,products!$A$1:$G$1,0))</f>
        <v>M</v>
      </c>
      <c r="K130" s="11">
        <f>INDEX(products!$A$2:$G$49,MATCH(orders!$D130,products!$A$2:$A$49,0),MATCH(orders!K$1,products!$A$1:$G$1,0))</f>
        <v>0.5</v>
      </c>
      <c r="L130" s="12">
        <f>INDEX(products!$A$2:$G$49,MATCH(orders!$D130,products!$A$2:$A$49,0),MATCH(orders!L$1,products!$A$1:$G$1,0))</f>
        <v>6.75</v>
      </c>
      <c r="M130" s="12">
        <f t="shared" si="3"/>
        <v>6.75</v>
      </c>
      <c r="N130" s="10" t="str">
        <f t="shared" si="4"/>
        <v>Arabica</v>
      </c>
      <c r="O130" s="10" t="str">
        <f t="shared" si="5"/>
        <v>Medium</v>
      </c>
      <c r="P130" s="10" t="str">
        <f>_xlfn.XLOOKUP(Tableau1[[#This Row],[Customer ID]],customers!A$2:A$1001,customers!I$2:I$1001)</f>
        <v>No</v>
      </c>
    </row>
    <row r="131" spans="1:16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9" t="str">
        <f>_xlfn.XLOOKUP(orders!C131,customers!$A$2:$A$1001,customers!$B$2:$B$1001)</f>
        <v>Evelina Dacca</v>
      </c>
      <c r="G131" s="9" t="str">
        <f>IF(_xlfn.XLOOKUP(orders!C131,customers!$A$2:$A$1001,customers!$C$2:$C$1001,,,)=0,"",_xlfn.XLOOKUP(orders!C131,customers!$A$2:$A$1001,customers!$C$2:$C$1001,,,))</f>
        <v>edacca3l@google.pl</v>
      </c>
      <c r="H131" s="9" t="str">
        <f>_xlfn.XLOOKUP(C131,customers!$A$2:$A$1001,customers!$G$2:$G$1001,"")</f>
        <v>United States</v>
      </c>
      <c r="I131" s="10" t="str">
        <f>INDEX(products!$A$2:$G$49,MATCH(orders!$D131,products!$A$2:$A$49,0),MATCH(orders!I$1,products!$A$1:$G$1,0))</f>
        <v>Exc</v>
      </c>
      <c r="J131" s="10" t="str">
        <f>INDEX(products!$A$2:$G$49,MATCH(orders!$D131,products!$A$2:$A$49,0),MATCH(orders!J$1,products!$A$1:$G$1,0))</f>
        <v>D</v>
      </c>
      <c r="K131" s="11">
        <f>INDEX(products!$A$2:$G$49,MATCH(orders!$D131,products!$A$2:$A$49,0),MATCH(orders!K$1,products!$A$1:$G$1,0))</f>
        <v>1</v>
      </c>
      <c r="L131" s="12">
        <f>INDEX(products!$A$2:$G$49,MATCH(orders!$D131,products!$A$2:$A$49,0),MATCH(orders!L$1,products!$A$1:$G$1,0))</f>
        <v>12.15</v>
      </c>
      <c r="M131" s="12">
        <f t="shared" ref="M131:M194" si="6">L131*E131</f>
        <v>12.15</v>
      </c>
      <c r="N131" s="10" t="str">
        <f t="shared" ref="N131:N194" si="7">IF(I131="Rob","Robusta",IF(I131="Exc","Excelsa",IF(I131="Ara","Arabica",IF(I131="Lib","Liberica"))))</f>
        <v>Excelsa</v>
      </c>
      <c r="O131" s="10" t="str">
        <f t="shared" ref="O131:O194" si="8">IF(J131="M","Medium",IF(J131="L","Light",IF(J131="D","Dark")))</f>
        <v>Dark</v>
      </c>
      <c r="P131" s="10" t="str">
        <f>_xlfn.XLOOKUP(Tableau1[[#This Row],[Customer ID]],customers!A$2:A$1001,customers!I$2:I$1001)</f>
        <v>Yes</v>
      </c>
    </row>
    <row r="132" spans="1:16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9" t="str">
        <f>_xlfn.XLOOKUP(orders!C132,customers!$A$2:$A$1001,customers!$B$2:$B$1001)</f>
        <v>Bidget Tremellier</v>
      </c>
      <c r="G132" s="9" t="str">
        <f>IF(_xlfn.XLOOKUP(orders!C132,customers!$A$2:$A$1001,customers!$C$2:$C$1001,,,)=0,"",_xlfn.XLOOKUP(orders!C132,customers!$A$2:$A$1001,customers!$C$2:$C$1001,,,))</f>
        <v/>
      </c>
      <c r="H132" s="9" t="str">
        <f>_xlfn.XLOOKUP(C132,customers!$A$2:$A$1001,customers!$G$2:$G$1001,"")</f>
        <v>Ireland</v>
      </c>
      <c r="I132" s="10" t="str">
        <f>INDEX(products!$A$2:$G$49,MATCH(orders!$D132,products!$A$2:$A$49,0),MATCH(orders!I$1,products!$A$1:$G$1,0))</f>
        <v>Ara</v>
      </c>
      <c r="J132" s="10" t="str">
        <f>INDEX(products!$A$2:$G$49,MATCH(orders!$D132,products!$A$2:$A$49,0),MATCH(orders!J$1,products!$A$1:$G$1,0))</f>
        <v>L</v>
      </c>
      <c r="K132" s="11">
        <f>INDEX(products!$A$2:$G$49,MATCH(orders!$D132,products!$A$2:$A$49,0),MATCH(orders!K$1,products!$A$1:$G$1,0))</f>
        <v>2.5</v>
      </c>
      <c r="L132" s="12">
        <f>INDEX(products!$A$2:$G$49,MATCH(orders!$D132,products!$A$2:$A$49,0),MATCH(orders!L$1,products!$A$1:$G$1,0))</f>
        <v>29.784999999999997</v>
      </c>
      <c r="M132" s="12">
        <f t="shared" si="6"/>
        <v>148.92499999999998</v>
      </c>
      <c r="N132" s="10" t="str">
        <f t="shared" si="7"/>
        <v>Arabica</v>
      </c>
      <c r="O132" s="10" t="str">
        <f t="shared" si="8"/>
        <v>Light</v>
      </c>
      <c r="P132" s="10" t="str">
        <f>_xlfn.XLOOKUP(Tableau1[[#This Row],[Customer ID]],customers!A$2:A$1001,customers!I$2:I$1001)</f>
        <v>Yes</v>
      </c>
    </row>
    <row r="133" spans="1:16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9" t="str">
        <f>_xlfn.XLOOKUP(orders!C133,customers!$A$2:$A$1001,customers!$B$2:$B$1001)</f>
        <v>Bobinette Hindsberg</v>
      </c>
      <c r="G133" s="9" t="str">
        <f>IF(_xlfn.XLOOKUP(orders!C133,customers!$A$2:$A$1001,customers!$C$2:$C$1001,,,)=0,"",_xlfn.XLOOKUP(orders!C133,customers!$A$2:$A$1001,customers!$C$2:$C$1001,,,))</f>
        <v>bhindsberg3n@blogs.com</v>
      </c>
      <c r="H133" s="9" t="str">
        <f>_xlfn.XLOOKUP(C133,customers!$A$2:$A$1001,customers!$G$2:$G$1001,"")</f>
        <v>United States</v>
      </c>
      <c r="I133" s="10" t="str">
        <f>INDEX(products!$A$2:$G$49,MATCH(orders!$D133,products!$A$2:$A$49,0),MATCH(orders!I$1,products!$A$1:$G$1,0))</f>
        <v>Exc</v>
      </c>
      <c r="J133" s="10" t="str">
        <f>INDEX(products!$A$2:$G$49,MATCH(orders!$D133,products!$A$2:$A$49,0),MATCH(orders!J$1,products!$A$1:$G$1,0))</f>
        <v>D</v>
      </c>
      <c r="K133" s="11">
        <f>INDEX(products!$A$2:$G$49,MATCH(orders!$D133,products!$A$2:$A$49,0),MATCH(orders!K$1,products!$A$1:$G$1,0))</f>
        <v>0.5</v>
      </c>
      <c r="L133" s="12">
        <f>INDEX(products!$A$2:$G$49,MATCH(orders!$D133,products!$A$2:$A$49,0),MATCH(orders!L$1,products!$A$1:$G$1,0))</f>
        <v>7.29</v>
      </c>
      <c r="M133" s="12">
        <f t="shared" si="6"/>
        <v>14.58</v>
      </c>
      <c r="N133" s="10" t="str">
        <f t="shared" si="7"/>
        <v>Excelsa</v>
      </c>
      <c r="O133" s="10" t="str">
        <f t="shared" si="8"/>
        <v>Dark</v>
      </c>
      <c r="P133" s="10" t="str">
        <f>_xlfn.XLOOKUP(Tableau1[[#This Row],[Customer ID]],customers!A$2:A$1001,customers!I$2:I$1001)</f>
        <v>Yes</v>
      </c>
    </row>
    <row r="134" spans="1:16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9" t="str">
        <f>_xlfn.XLOOKUP(orders!C134,customers!$A$2:$A$1001,customers!$B$2:$B$1001)</f>
        <v>Osbert Robins</v>
      </c>
      <c r="G134" s="9" t="str">
        <f>IF(_xlfn.XLOOKUP(orders!C134,customers!$A$2:$A$1001,customers!$C$2:$C$1001,,,)=0,"",_xlfn.XLOOKUP(orders!C134,customers!$A$2:$A$1001,customers!$C$2:$C$1001,,,))</f>
        <v>orobins3o@salon.com</v>
      </c>
      <c r="H134" s="9" t="str">
        <f>_xlfn.XLOOKUP(C134,customers!$A$2:$A$1001,customers!$G$2:$G$1001,"")</f>
        <v>United States</v>
      </c>
      <c r="I134" s="10" t="str">
        <f>INDEX(products!$A$2:$G$49,MATCH(orders!$D134,products!$A$2:$A$49,0),MATCH(orders!I$1,products!$A$1:$G$1,0))</f>
        <v>Ara</v>
      </c>
      <c r="J134" s="10" t="str">
        <f>INDEX(products!$A$2:$G$49,MATCH(orders!$D134,products!$A$2:$A$49,0),MATCH(orders!J$1,products!$A$1:$G$1,0))</f>
        <v>L</v>
      </c>
      <c r="K134" s="11">
        <f>INDEX(products!$A$2:$G$49,MATCH(orders!$D134,products!$A$2:$A$49,0),MATCH(orders!K$1,products!$A$1:$G$1,0))</f>
        <v>2.5</v>
      </c>
      <c r="L134" s="12">
        <f>INDEX(products!$A$2:$G$49,MATCH(orders!$D134,products!$A$2:$A$49,0),MATCH(orders!L$1,products!$A$1:$G$1,0))</f>
        <v>29.784999999999997</v>
      </c>
      <c r="M134" s="12">
        <f t="shared" si="6"/>
        <v>148.92499999999998</v>
      </c>
      <c r="N134" s="10" t="str">
        <f t="shared" si="7"/>
        <v>Arabica</v>
      </c>
      <c r="O134" s="10" t="str">
        <f t="shared" si="8"/>
        <v>Light</v>
      </c>
      <c r="P134" s="10" t="str">
        <f>_xlfn.XLOOKUP(Tableau1[[#This Row],[Customer ID]],customers!A$2:A$1001,customers!I$2:I$1001)</f>
        <v>Yes</v>
      </c>
    </row>
    <row r="135" spans="1:16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9" t="str">
        <f>_xlfn.XLOOKUP(orders!C135,customers!$A$2:$A$1001,customers!$B$2:$B$1001)</f>
        <v>Othello Syseland</v>
      </c>
      <c r="G135" s="9" t="str">
        <f>IF(_xlfn.XLOOKUP(orders!C135,customers!$A$2:$A$1001,customers!$C$2:$C$1001,,,)=0,"",_xlfn.XLOOKUP(orders!C135,customers!$A$2:$A$1001,customers!$C$2:$C$1001,,,))</f>
        <v>osyseland3p@independent.co.uk</v>
      </c>
      <c r="H135" s="9" t="str">
        <f>_xlfn.XLOOKUP(C135,customers!$A$2:$A$1001,customers!$G$2:$G$1001,"")</f>
        <v>United States</v>
      </c>
      <c r="I135" s="10" t="str">
        <f>INDEX(products!$A$2:$G$49,MATCH(orders!$D135,products!$A$2:$A$49,0),MATCH(orders!I$1,products!$A$1:$G$1,0))</f>
        <v>Lib</v>
      </c>
      <c r="J135" s="10" t="str">
        <f>INDEX(products!$A$2:$G$49,MATCH(orders!$D135,products!$A$2:$A$49,0),MATCH(orders!J$1,products!$A$1:$G$1,0))</f>
        <v>D</v>
      </c>
      <c r="K135" s="11">
        <f>INDEX(products!$A$2:$G$49,MATCH(orders!$D135,products!$A$2:$A$49,0),MATCH(orders!K$1,products!$A$1:$G$1,0))</f>
        <v>1</v>
      </c>
      <c r="L135" s="12">
        <f>INDEX(products!$A$2:$G$49,MATCH(orders!$D135,products!$A$2:$A$49,0),MATCH(orders!L$1,products!$A$1:$G$1,0))</f>
        <v>12.95</v>
      </c>
      <c r="M135" s="12">
        <f t="shared" si="6"/>
        <v>12.95</v>
      </c>
      <c r="N135" s="10" t="str">
        <f t="shared" si="7"/>
        <v>Liberica</v>
      </c>
      <c r="O135" s="10" t="str">
        <f t="shared" si="8"/>
        <v>Dark</v>
      </c>
      <c r="P135" s="10" t="str">
        <f>_xlfn.XLOOKUP(Tableau1[[#This Row],[Customer ID]],customers!A$2:A$1001,customers!I$2:I$1001)</f>
        <v>No</v>
      </c>
    </row>
    <row r="136" spans="1:16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9" t="str">
        <f>_xlfn.XLOOKUP(orders!C136,customers!$A$2:$A$1001,customers!$B$2:$B$1001)</f>
        <v>Ewell Hanby</v>
      </c>
      <c r="G136" s="9" t="str">
        <f>IF(_xlfn.XLOOKUP(orders!C136,customers!$A$2:$A$1001,customers!$C$2:$C$1001,,,)=0,"",_xlfn.XLOOKUP(orders!C136,customers!$A$2:$A$1001,customers!$C$2:$C$1001,,,))</f>
        <v/>
      </c>
      <c r="H136" s="9" t="str">
        <f>_xlfn.XLOOKUP(C136,customers!$A$2:$A$1001,customers!$G$2:$G$1001,"")</f>
        <v>United States</v>
      </c>
      <c r="I136" s="10" t="str">
        <f>INDEX(products!$A$2:$G$49,MATCH(orders!$D136,products!$A$2:$A$49,0),MATCH(orders!I$1,products!$A$1:$G$1,0))</f>
        <v>Exc</v>
      </c>
      <c r="J136" s="10" t="str">
        <f>INDEX(products!$A$2:$G$49,MATCH(orders!$D136,products!$A$2:$A$49,0),MATCH(orders!J$1,products!$A$1:$G$1,0))</f>
        <v>M</v>
      </c>
      <c r="K136" s="11">
        <f>INDEX(products!$A$2:$G$49,MATCH(orders!$D136,products!$A$2:$A$49,0),MATCH(orders!K$1,products!$A$1:$G$1,0))</f>
        <v>2.5</v>
      </c>
      <c r="L136" s="12">
        <f>INDEX(products!$A$2:$G$49,MATCH(orders!$D136,products!$A$2:$A$49,0),MATCH(orders!L$1,products!$A$1:$G$1,0))</f>
        <v>31.624999999999996</v>
      </c>
      <c r="M136" s="12">
        <f t="shared" si="6"/>
        <v>94.874999999999986</v>
      </c>
      <c r="N136" s="10" t="str">
        <f t="shared" si="7"/>
        <v>Excelsa</v>
      </c>
      <c r="O136" s="10" t="str">
        <f t="shared" si="8"/>
        <v>Medium</v>
      </c>
      <c r="P136" s="10" t="str">
        <f>_xlfn.XLOOKUP(Tableau1[[#This Row],[Customer ID]],customers!A$2:A$1001,customers!I$2:I$1001)</f>
        <v>Yes</v>
      </c>
    </row>
    <row r="137" spans="1:16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9" t="str">
        <f>_xlfn.XLOOKUP(orders!C137,customers!$A$2:$A$1001,customers!$B$2:$B$1001)</f>
        <v>Blancha McAmish</v>
      </c>
      <c r="G137" s="9" t="str">
        <f>IF(_xlfn.XLOOKUP(orders!C137,customers!$A$2:$A$1001,customers!$C$2:$C$1001,,,)=0,"",_xlfn.XLOOKUP(orders!C137,customers!$A$2:$A$1001,customers!$C$2:$C$1001,,,))</f>
        <v>bmcamish2e@tripadvisor.com</v>
      </c>
      <c r="H137" s="9" t="str">
        <f>_xlfn.XLOOKUP(C137,customers!$A$2:$A$1001,customers!$G$2:$G$1001,"")</f>
        <v>United States</v>
      </c>
      <c r="I137" s="10" t="str">
        <f>INDEX(products!$A$2:$G$49,MATCH(orders!$D137,products!$A$2:$A$49,0),MATCH(orders!I$1,products!$A$1:$G$1,0))</f>
        <v>Ara</v>
      </c>
      <c r="J137" s="10" t="str">
        <f>INDEX(products!$A$2:$G$49,MATCH(orders!$D137,products!$A$2:$A$49,0),MATCH(orders!J$1,products!$A$1:$G$1,0))</f>
        <v>L</v>
      </c>
      <c r="K137" s="11">
        <f>INDEX(products!$A$2:$G$49,MATCH(orders!$D137,products!$A$2:$A$49,0),MATCH(orders!K$1,products!$A$1:$G$1,0))</f>
        <v>0.5</v>
      </c>
      <c r="L137" s="12">
        <f>INDEX(products!$A$2:$G$49,MATCH(orders!$D137,products!$A$2:$A$49,0),MATCH(orders!L$1,products!$A$1:$G$1,0))</f>
        <v>7.77</v>
      </c>
      <c r="M137" s="12">
        <f t="shared" si="6"/>
        <v>38.849999999999994</v>
      </c>
      <c r="N137" s="10" t="str">
        <f t="shared" si="7"/>
        <v>Arabica</v>
      </c>
      <c r="O137" s="10" t="str">
        <f t="shared" si="8"/>
        <v>Light</v>
      </c>
      <c r="P137" s="10" t="str">
        <f>_xlfn.XLOOKUP(Tableau1[[#This Row],[Customer ID]],customers!A$2:A$1001,customers!I$2:I$1001)</f>
        <v>Yes</v>
      </c>
    </row>
    <row r="138" spans="1:16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9" t="str">
        <f>_xlfn.XLOOKUP(orders!C138,customers!$A$2:$A$1001,customers!$B$2:$B$1001)</f>
        <v>Lowell Keenleyside</v>
      </c>
      <c r="G138" s="9" t="str">
        <f>IF(_xlfn.XLOOKUP(orders!C138,customers!$A$2:$A$1001,customers!$C$2:$C$1001,,,)=0,"",_xlfn.XLOOKUP(orders!C138,customers!$A$2:$A$1001,customers!$C$2:$C$1001,,,))</f>
        <v>lkeenleyside3s@topsy.com</v>
      </c>
      <c r="H138" s="9" t="str">
        <f>_xlfn.XLOOKUP(C138,customers!$A$2:$A$1001,customers!$G$2:$G$1001,"")</f>
        <v>United States</v>
      </c>
      <c r="I138" s="10" t="str">
        <f>INDEX(products!$A$2:$G$49,MATCH(orders!$D138,products!$A$2:$A$49,0),MATCH(orders!I$1,products!$A$1:$G$1,0))</f>
        <v>Ara</v>
      </c>
      <c r="J138" s="10" t="str">
        <f>INDEX(products!$A$2:$G$49,MATCH(orders!$D138,products!$A$2:$A$49,0),MATCH(orders!J$1,products!$A$1:$G$1,0))</f>
        <v>D</v>
      </c>
      <c r="K138" s="11">
        <f>INDEX(products!$A$2:$G$49,MATCH(orders!$D138,products!$A$2:$A$49,0),MATCH(orders!K$1,products!$A$1:$G$1,0))</f>
        <v>0.2</v>
      </c>
      <c r="L138" s="12">
        <f>INDEX(products!$A$2:$G$49,MATCH(orders!$D138,products!$A$2:$A$49,0),MATCH(orders!L$1,products!$A$1:$G$1,0))</f>
        <v>2.9849999999999999</v>
      </c>
      <c r="M138" s="12">
        <f t="shared" si="6"/>
        <v>11.94</v>
      </c>
      <c r="N138" s="10" t="str">
        <f t="shared" si="7"/>
        <v>Arabica</v>
      </c>
      <c r="O138" s="10" t="str">
        <f t="shared" si="8"/>
        <v>Dark</v>
      </c>
      <c r="P138" s="10" t="str">
        <f>_xlfn.XLOOKUP(Tableau1[[#This Row],[Customer ID]],customers!A$2:A$1001,customers!I$2:I$1001)</f>
        <v>No</v>
      </c>
    </row>
    <row r="139" spans="1:16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9" t="str">
        <f>_xlfn.XLOOKUP(orders!C139,customers!$A$2:$A$1001,customers!$B$2:$B$1001)</f>
        <v>Elonore Joliffe</v>
      </c>
      <c r="G139" s="9" t="str">
        <f>IF(_xlfn.XLOOKUP(orders!C139,customers!$A$2:$A$1001,customers!$C$2:$C$1001,,,)=0,"",_xlfn.XLOOKUP(orders!C139,customers!$A$2:$A$1001,customers!$C$2:$C$1001,,,))</f>
        <v/>
      </c>
      <c r="H139" s="9" t="str">
        <f>_xlfn.XLOOKUP(C139,customers!$A$2:$A$1001,customers!$G$2:$G$1001,"")</f>
        <v>Ireland</v>
      </c>
      <c r="I139" s="10" t="str">
        <f>INDEX(products!$A$2:$G$49,MATCH(orders!$D139,products!$A$2:$A$49,0),MATCH(orders!I$1,products!$A$1:$G$1,0))</f>
        <v>Exc</v>
      </c>
      <c r="J139" s="10" t="str">
        <f>INDEX(products!$A$2:$G$49,MATCH(orders!$D139,products!$A$2:$A$49,0),MATCH(orders!J$1,products!$A$1:$G$1,0))</f>
        <v>L</v>
      </c>
      <c r="K139" s="11">
        <f>INDEX(products!$A$2:$G$49,MATCH(orders!$D139,products!$A$2:$A$49,0),MATCH(orders!K$1,products!$A$1:$G$1,0))</f>
        <v>2.5</v>
      </c>
      <c r="L139" s="12">
        <f>INDEX(products!$A$2:$G$49,MATCH(orders!$D139,products!$A$2:$A$49,0),MATCH(orders!L$1,products!$A$1:$G$1,0))</f>
        <v>34.154999999999994</v>
      </c>
      <c r="M139" s="12">
        <f t="shared" si="6"/>
        <v>102.46499999999997</v>
      </c>
      <c r="N139" s="10" t="str">
        <f t="shared" si="7"/>
        <v>Excelsa</v>
      </c>
      <c r="O139" s="10" t="str">
        <f t="shared" si="8"/>
        <v>Light</v>
      </c>
      <c r="P139" s="10" t="str">
        <f>_xlfn.XLOOKUP(Tableau1[[#This Row],[Customer ID]],customers!A$2:A$1001,customers!I$2:I$1001)</f>
        <v>No</v>
      </c>
    </row>
    <row r="140" spans="1:16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9" t="str">
        <f>_xlfn.XLOOKUP(orders!C140,customers!$A$2:$A$1001,customers!$B$2:$B$1001)</f>
        <v>Abraham Coleman</v>
      </c>
      <c r="G140" s="9" t="str">
        <f>IF(_xlfn.XLOOKUP(orders!C140,customers!$A$2:$A$1001,customers!$C$2:$C$1001,,,)=0,"",_xlfn.XLOOKUP(orders!C140,customers!$A$2:$A$1001,customers!$C$2:$C$1001,,,))</f>
        <v/>
      </c>
      <c r="H140" s="9" t="str">
        <f>_xlfn.XLOOKUP(C140,customers!$A$2:$A$1001,customers!$G$2:$G$1001,"")</f>
        <v>United States</v>
      </c>
      <c r="I140" s="10" t="str">
        <f>INDEX(products!$A$2:$G$49,MATCH(orders!$D140,products!$A$2:$A$49,0),MATCH(orders!I$1,products!$A$1:$G$1,0))</f>
        <v>Exc</v>
      </c>
      <c r="J140" s="10" t="str">
        <f>INDEX(products!$A$2:$G$49,MATCH(orders!$D140,products!$A$2:$A$49,0),MATCH(orders!J$1,products!$A$1:$G$1,0))</f>
        <v>D</v>
      </c>
      <c r="K140" s="11">
        <f>INDEX(products!$A$2:$G$49,MATCH(orders!$D140,products!$A$2:$A$49,0),MATCH(orders!K$1,products!$A$1:$G$1,0))</f>
        <v>1</v>
      </c>
      <c r="L140" s="12">
        <f>INDEX(products!$A$2:$G$49,MATCH(orders!$D140,products!$A$2:$A$49,0),MATCH(orders!L$1,products!$A$1:$G$1,0))</f>
        <v>12.15</v>
      </c>
      <c r="M140" s="12">
        <f t="shared" si="6"/>
        <v>48.6</v>
      </c>
      <c r="N140" s="10" t="str">
        <f t="shared" si="7"/>
        <v>Excelsa</v>
      </c>
      <c r="O140" s="10" t="str">
        <f t="shared" si="8"/>
        <v>Dark</v>
      </c>
      <c r="P140" s="10" t="str">
        <f>_xlfn.XLOOKUP(Tableau1[[#This Row],[Customer ID]],customers!A$2:A$1001,customers!I$2:I$1001)</f>
        <v>No</v>
      </c>
    </row>
    <row r="141" spans="1:16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9" t="str">
        <f>_xlfn.XLOOKUP(orders!C141,customers!$A$2:$A$1001,customers!$B$2:$B$1001)</f>
        <v>Rivy Farington</v>
      </c>
      <c r="G141" s="9" t="str">
        <f>IF(_xlfn.XLOOKUP(orders!C141,customers!$A$2:$A$1001,customers!$C$2:$C$1001,,,)=0,"",_xlfn.XLOOKUP(orders!C141,customers!$A$2:$A$1001,customers!$C$2:$C$1001,,,))</f>
        <v/>
      </c>
      <c r="H141" s="9" t="str">
        <f>_xlfn.XLOOKUP(C141,customers!$A$2:$A$1001,customers!$G$2:$G$1001,"")</f>
        <v>United States</v>
      </c>
      <c r="I141" s="10" t="str">
        <f>INDEX(products!$A$2:$G$49,MATCH(orders!$D141,products!$A$2:$A$49,0),MATCH(orders!I$1,products!$A$1:$G$1,0))</f>
        <v>Lib</v>
      </c>
      <c r="J141" s="10" t="str">
        <f>INDEX(products!$A$2:$G$49,MATCH(orders!$D141,products!$A$2:$A$49,0),MATCH(orders!J$1,products!$A$1:$G$1,0))</f>
        <v>D</v>
      </c>
      <c r="K141" s="11">
        <f>INDEX(products!$A$2:$G$49,MATCH(orders!$D141,products!$A$2:$A$49,0),MATCH(orders!K$1,products!$A$1:$G$1,0))</f>
        <v>1</v>
      </c>
      <c r="L141" s="12">
        <f>INDEX(products!$A$2:$G$49,MATCH(orders!$D141,products!$A$2:$A$49,0),MATCH(orders!L$1,products!$A$1:$G$1,0))</f>
        <v>12.95</v>
      </c>
      <c r="M141" s="12">
        <f t="shared" si="6"/>
        <v>77.699999999999989</v>
      </c>
      <c r="N141" s="10" t="str">
        <f t="shared" si="7"/>
        <v>Liberica</v>
      </c>
      <c r="O141" s="10" t="str">
        <f t="shared" si="8"/>
        <v>Dark</v>
      </c>
      <c r="P141" s="10" t="str">
        <f>_xlfn.XLOOKUP(Tableau1[[#This Row],[Customer ID]],customers!A$2:A$1001,customers!I$2:I$1001)</f>
        <v>Yes</v>
      </c>
    </row>
    <row r="142" spans="1:16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9" t="str">
        <f>_xlfn.XLOOKUP(orders!C142,customers!$A$2:$A$1001,customers!$B$2:$B$1001)</f>
        <v>Vallie Kundt</v>
      </c>
      <c r="G142" s="9" t="str">
        <f>IF(_xlfn.XLOOKUP(orders!C142,customers!$A$2:$A$1001,customers!$C$2:$C$1001,,,)=0,"",_xlfn.XLOOKUP(orders!C142,customers!$A$2:$A$1001,customers!$C$2:$C$1001,,,))</f>
        <v>vkundt3w@bigcartel.com</v>
      </c>
      <c r="H142" s="9" t="str">
        <f>_xlfn.XLOOKUP(C142,customers!$A$2:$A$1001,customers!$G$2:$G$1001,"")</f>
        <v>Ireland</v>
      </c>
      <c r="I142" s="10" t="str">
        <f>INDEX(products!$A$2:$G$49,MATCH(orders!$D142,products!$A$2:$A$49,0),MATCH(orders!I$1,products!$A$1:$G$1,0))</f>
        <v>Lib</v>
      </c>
      <c r="J142" s="10" t="str">
        <f>INDEX(products!$A$2:$G$49,MATCH(orders!$D142,products!$A$2:$A$49,0),MATCH(orders!J$1,products!$A$1:$G$1,0))</f>
        <v>D</v>
      </c>
      <c r="K142" s="11">
        <f>INDEX(products!$A$2:$G$49,MATCH(orders!$D142,products!$A$2:$A$49,0),MATCH(orders!K$1,products!$A$1:$G$1,0))</f>
        <v>2.5</v>
      </c>
      <c r="L142" s="12">
        <f>INDEX(products!$A$2:$G$49,MATCH(orders!$D142,products!$A$2:$A$49,0),MATCH(orders!L$1,products!$A$1:$G$1,0))</f>
        <v>29.784999999999997</v>
      </c>
      <c r="M142" s="12">
        <f t="shared" si="6"/>
        <v>29.784999999999997</v>
      </c>
      <c r="N142" s="10" t="str">
        <f t="shared" si="7"/>
        <v>Liberica</v>
      </c>
      <c r="O142" s="10" t="str">
        <f t="shared" si="8"/>
        <v>Dark</v>
      </c>
      <c r="P142" s="10" t="str">
        <f>_xlfn.XLOOKUP(Tableau1[[#This Row],[Customer ID]],customers!A$2:A$1001,customers!I$2:I$1001)</f>
        <v>Yes</v>
      </c>
    </row>
    <row r="143" spans="1:16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9" t="str">
        <f>_xlfn.XLOOKUP(orders!C143,customers!$A$2:$A$1001,customers!$B$2:$B$1001)</f>
        <v>Boyd Bett</v>
      </c>
      <c r="G143" s="9" t="str">
        <f>IF(_xlfn.XLOOKUP(orders!C143,customers!$A$2:$A$1001,customers!$C$2:$C$1001,,,)=0,"",_xlfn.XLOOKUP(orders!C143,customers!$A$2:$A$1001,customers!$C$2:$C$1001,,,))</f>
        <v>bbett3x@google.de</v>
      </c>
      <c r="H143" s="9" t="str">
        <f>_xlfn.XLOOKUP(C143,customers!$A$2:$A$1001,customers!$G$2:$G$1001,"")</f>
        <v>United States</v>
      </c>
      <c r="I143" s="10" t="str">
        <f>INDEX(products!$A$2:$G$49,MATCH(orders!$D143,products!$A$2:$A$49,0),MATCH(orders!I$1,products!$A$1:$G$1,0))</f>
        <v>Ara</v>
      </c>
      <c r="J143" s="10" t="str">
        <f>INDEX(products!$A$2:$G$49,MATCH(orders!$D143,products!$A$2:$A$49,0),MATCH(orders!J$1,products!$A$1:$G$1,0))</f>
        <v>L</v>
      </c>
      <c r="K143" s="11">
        <f>INDEX(products!$A$2:$G$49,MATCH(orders!$D143,products!$A$2:$A$49,0),MATCH(orders!K$1,products!$A$1:$G$1,0))</f>
        <v>0.2</v>
      </c>
      <c r="L143" s="12">
        <f>INDEX(products!$A$2:$G$49,MATCH(orders!$D143,products!$A$2:$A$49,0),MATCH(orders!L$1,products!$A$1:$G$1,0))</f>
        <v>3.8849999999999998</v>
      </c>
      <c r="M143" s="12">
        <f t="shared" si="6"/>
        <v>15.54</v>
      </c>
      <c r="N143" s="10" t="str">
        <f t="shared" si="7"/>
        <v>Arabica</v>
      </c>
      <c r="O143" s="10" t="str">
        <f t="shared" si="8"/>
        <v>Light</v>
      </c>
      <c r="P143" s="10" t="str">
        <f>_xlfn.XLOOKUP(Tableau1[[#This Row],[Customer ID]],customers!A$2:A$1001,customers!I$2:I$1001)</f>
        <v>Yes</v>
      </c>
    </row>
    <row r="144" spans="1:16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9" t="str">
        <f>_xlfn.XLOOKUP(orders!C144,customers!$A$2:$A$1001,customers!$B$2:$B$1001)</f>
        <v>Julio Armytage</v>
      </c>
      <c r="G144" s="9" t="str">
        <f>IF(_xlfn.XLOOKUP(orders!C144,customers!$A$2:$A$1001,customers!$C$2:$C$1001,,,)=0,"",_xlfn.XLOOKUP(orders!C144,customers!$A$2:$A$1001,customers!$C$2:$C$1001,,,))</f>
        <v/>
      </c>
      <c r="H144" s="9" t="str">
        <f>_xlfn.XLOOKUP(C144,customers!$A$2:$A$1001,customers!$G$2:$G$1001,"")</f>
        <v>Ireland</v>
      </c>
      <c r="I144" s="10" t="str">
        <f>INDEX(products!$A$2:$G$49,MATCH(orders!$D144,products!$A$2:$A$49,0),MATCH(orders!I$1,products!$A$1:$G$1,0))</f>
        <v>Exc</v>
      </c>
      <c r="J144" s="10" t="str">
        <f>INDEX(products!$A$2:$G$49,MATCH(orders!$D144,products!$A$2:$A$49,0),MATCH(orders!J$1,products!$A$1:$G$1,0))</f>
        <v>L</v>
      </c>
      <c r="K144" s="11">
        <f>INDEX(products!$A$2:$G$49,MATCH(orders!$D144,products!$A$2:$A$49,0),MATCH(orders!K$1,products!$A$1:$G$1,0))</f>
        <v>2.5</v>
      </c>
      <c r="L144" s="12">
        <f>INDEX(products!$A$2:$G$49,MATCH(orders!$D144,products!$A$2:$A$49,0),MATCH(orders!L$1,products!$A$1:$G$1,0))</f>
        <v>34.154999999999994</v>
      </c>
      <c r="M144" s="12">
        <f t="shared" si="6"/>
        <v>136.61999999999998</v>
      </c>
      <c r="N144" s="10" t="str">
        <f t="shared" si="7"/>
        <v>Excelsa</v>
      </c>
      <c r="O144" s="10" t="str">
        <f t="shared" si="8"/>
        <v>Light</v>
      </c>
      <c r="P144" s="10" t="str">
        <f>_xlfn.XLOOKUP(Tableau1[[#This Row],[Customer ID]],customers!A$2:A$1001,customers!I$2:I$1001)</f>
        <v>Yes</v>
      </c>
    </row>
    <row r="145" spans="1:16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9" t="str">
        <f>_xlfn.XLOOKUP(orders!C145,customers!$A$2:$A$1001,customers!$B$2:$B$1001)</f>
        <v>Deana Staite</v>
      </c>
      <c r="G145" s="9" t="str">
        <f>IF(_xlfn.XLOOKUP(orders!C145,customers!$A$2:$A$1001,customers!$C$2:$C$1001,,,)=0,"",_xlfn.XLOOKUP(orders!C145,customers!$A$2:$A$1001,customers!$C$2:$C$1001,,,))</f>
        <v>dstaite3z@scientificamerican.com</v>
      </c>
      <c r="H145" s="9" t="str">
        <f>_xlfn.XLOOKUP(C145,customers!$A$2:$A$1001,customers!$G$2:$G$1001,"")</f>
        <v>United States</v>
      </c>
      <c r="I145" s="10" t="str">
        <f>INDEX(products!$A$2:$G$49,MATCH(orders!$D145,products!$A$2:$A$49,0),MATCH(orders!I$1,products!$A$1:$G$1,0))</f>
        <v>Lib</v>
      </c>
      <c r="J145" s="10" t="str">
        <f>INDEX(products!$A$2:$G$49,MATCH(orders!$D145,products!$A$2:$A$49,0),MATCH(orders!J$1,products!$A$1:$G$1,0))</f>
        <v>M</v>
      </c>
      <c r="K145" s="11">
        <f>INDEX(products!$A$2:$G$49,MATCH(orders!$D145,products!$A$2:$A$49,0),MATCH(orders!K$1,products!$A$1:$G$1,0))</f>
        <v>0.5</v>
      </c>
      <c r="L145" s="12">
        <f>INDEX(products!$A$2:$G$49,MATCH(orders!$D145,products!$A$2:$A$49,0),MATCH(orders!L$1,products!$A$1:$G$1,0))</f>
        <v>8.73</v>
      </c>
      <c r="M145" s="12">
        <f t="shared" si="6"/>
        <v>17.46</v>
      </c>
      <c r="N145" s="10" t="str">
        <f t="shared" si="7"/>
        <v>Liberica</v>
      </c>
      <c r="O145" s="10" t="str">
        <f t="shared" si="8"/>
        <v>Medium</v>
      </c>
      <c r="P145" s="10" t="str">
        <f>_xlfn.XLOOKUP(Tableau1[[#This Row],[Customer ID]],customers!A$2:A$1001,customers!I$2:I$1001)</f>
        <v>No</v>
      </c>
    </row>
    <row r="146" spans="1:16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9" t="str">
        <f>_xlfn.XLOOKUP(orders!C146,customers!$A$2:$A$1001,customers!$B$2:$B$1001)</f>
        <v>Winn Keyse</v>
      </c>
      <c r="G146" s="9" t="str">
        <f>IF(_xlfn.XLOOKUP(orders!C146,customers!$A$2:$A$1001,customers!$C$2:$C$1001,,,)=0,"",_xlfn.XLOOKUP(orders!C146,customers!$A$2:$A$1001,customers!$C$2:$C$1001,,,))</f>
        <v>wkeyse40@apple.com</v>
      </c>
      <c r="H146" s="9" t="str">
        <f>_xlfn.XLOOKUP(C146,customers!$A$2:$A$1001,customers!$G$2:$G$1001,"")</f>
        <v>United States</v>
      </c>
      <c r="I146" s="10" t="str">
        <f>INDEX(products!$A$2:$G$49,MATCH(orders!$D146,products!$A$2:$A$49,0),MATCH(orders!I$1,products!$A$1:$G$1,0))</f>
        <v>Exc</v>
      </c>
      <c r="J146" s="10" t="str">
        <f>INDEX(products!$A$2:$G$49,MATCH(orders!$D146,products!$A$2:$A$49,0),MATCH(orders!J$1,products!$A$1:$G$1,0))</f>
        <v>L</v>
      </c>
      <c r="K146" s="11">
        <f>INDEX(products!$A$2:$G$49,MATCH(orders!$D146,products!$A$2:$A$49,0),MATCH(orders!K$1,products!$A$1:$G$1,0))</f>
        <v>2.5</v>
      </c>
      <c r="L146" s="12">
        <f>INDEX(products!$A$2:$G$49,MATCH(orders!$D146,products!$A$2:$A$49,0),MATCH(orders!L$1,products!$A$1:$G$1,0))</f>
        <v>34.154999999999994</v>
      </c>
      <c r="M146" s="12">
        <f t="shared" si="6"/>
        <v>68.309999999999988</v>
      </c>
      <c r="N146" s="10" t="str">
        <f t="shared" si="7"/>
        <v>Excelsa</v>
      </c>
      <c r="O146" s="10" t="str">
        <f t="shared" si="8"/>
        <v>Light</v>
      </c>
      <c r="P146" s="10" t="str">
        <f>_xlfn.XLOOKUP(Tableau1[[#This Row],[Customer ID]],customers!A$2:A$1001,customers!I$2:I$1001)</f>
        <v>Yes</v>
      </c>
    </row>
    <row r="147" spans="1:16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9" t="str">
        <f>_xlfn.XLOOKUP(orders!C147,customers!$A$2:$A$1001,customers!$B$2:$B$1001)</f>
        <v>Osmund Clausen-Thue</v>
      </c>
      <c r="G147" s="9" t="str">
        <f>IF(_xlfn.XLOOKUP(orders!C147,customers!$A$2:$A$1001,customers!$C$2:$C$1001,,,)=0,"",_xlfn.XLOOKUP(orders!C147,customers!$A$2:$A$1001,customers!$C$2:$C$1001,,,))</f>
        <v>oclausenthue41@marriott.com</v>
      </c>
      <c r="H147" s="9" t="str">
        <f>_xlfn.XLOOKUP(C147,customers!$A$2:$A$1001,customers!$G$2:$G$1001,"")</f>
        <v>United States</v>
      </c>
      <c r="I147" s="10" t="str">
        <f>INDEX(products!$A$2:$G$49,MATCH(orders!$D147,products!$A$2:$A$49,0),MATCH(orders!I$1,products!$A$1:$G$1,0))</f>
        <v>Lib</v>
      </c>
      <c r="J147" s="10" t="str">
        <f>INDEX(products!$A$2:$G$49,MATCH(orders!$D147,products!$A$2:$A$49,0),MATCH(orders!J$1,products!$A$1:$G$1,0))</f>
        <v>M</v>
      </c>
      <c r="K147" s="11">
        <f>INDEX(products!$A$2:$G$49,MATCH(orders!$D147,products!$A$2:$A$49,0),MATCH(orders!K$1,products!$A$1:$G$1,0))</f>
        <v>0.2</v>
      </c>
      <c r="L147" s="12">
        <f>INDEX(products!$A$2:$G$49,MATCH(orders!$D147,products!$A$2:$A$49,0),MATCH(orders!L$1,products!$A$1:$G$1,0))</f>
        <v>4.3650000000000002</v>
      </c>
      <c r="M147" s="12">
        <f t="shared" si="6"/>
        <v>17.46</v>
      </c>
      <c r="N147" s="10" t="str">
        <f t="shared" si="7"/>
        <v>Liberica</v>
      </c>
      <c r="O147" s="10" t="str">
        <f t="shared" si="8"/>
        <v>Medium</v>
      </c>
      <c r="P147" s="10" t="str">
        <f>_xlfn.XLOOKUP(Tableau1[[#This Row],[Customer ID]],customers!A$2:A$1001,customers!I$2:I$1001)</f>
        <v>No</v>
      </c>
    </row>
    <row r="148" spans="1:16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9" t="str">
        <f>_xlfn.XLOOKUP(orders!C148,customers!$A$2:$A$1001,customers!$B$2:$B$1001)</f>
        <v>Leonore Francisco</v>
      </c>
      <c r="G148" s="9" t="str">
        <f>IF(_xlfn.XLOOKUP(orders!C148,customers!$A$2:$A$1001,customers!$C$2:$C$1001,,,)=0,"",_xlfn.XLOOKUP(orders!C148,customers!$A$2:$A$1001,customers!$C$2:$C$1001,,,))</f>
        <v>lfrancisco42@fema.gov</v>
      </c>
      <c r="H148" s="9" t="str">
        <f>_xlfn.XLOOKUP(C148,customers!$A$2:$A$1001,customers!$G$2:$G$1001,"")</f>
        <v>United States</v>
      </c>
      <c r="I148" s="10" t="str">
        <f>INDEX(products!$A$2:$G$49,MATCH(orders!$D148,products!$A$2:$A$49,0),MATCH(orders!I$1,products!$A$1:$G$1,0))</f>
        <v>Lib</v>
      </c>
      <c r="J148" s="10" t="str">
        <f>INDEX(products!$A$2:$G$49,MATCH(orders!$D148,products!$A$2:$A$49,0),MATCH(orders!J$1,products!$A$1:$G$1,0))</f>
        <v>M</v>
      </c>
      <c r="K148" s="11">
        <f>INDEX(products!$A$2:$G$49,MATCH(orders!$D148,products!$A$2:$A$49,0),MATCH(orders!K$1,products!$A$1:$G$1,0))</f>
        <v>1</v>
      </c>
      <c r="L148" s="12">
        <f>INDEX(products!$A$2:$G$49,MATCH(orders!$D148,products!$A$2:$A$49,0),MATCH(orders!L$1,products!$A$1:$G$1,0))</f>
        <v>14.55</v>
      </c>
      <c r="M148" s="12">
        <f t="shared" si="6"/>
        <v>43.650000000000006</v>
      </c>
      <c r="N148" s="10" t="str">
        <f t="shared" si="7"/>
        <v>Liberica</v>
      </c>
      <c r="O148" s="10" t="str">
        <f t="shared" si="8"/>
        <v>Medium</v>
      </c>
      <c r="P148" s="10" t="str">
        <f>_xlfn.XLOOKUP(Tableau1[[#This Row],[Customer ID]],customers!A$2:A$1001,customers!I$2:I$1001)</f>
        <v>No</v>
      </c>
    </row>
    <row r="149" spans="1:16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9" t="str">
        <f>_xlfn.XLOOKUP(orders!C149,customers!$A$2:$A$1001,customers!$B$2:$B$1001)</f>
        <v>Leonore Francisco</v>
      </c>
      <c r="G149" s="9" t="str">
        <f>IF(_xlfn.XLOOKUP(orders!C149,customers!$A$2:$A$1001,customers!$C$2:$C$1001,,,)=0,"",_xlfn.XLOOKUP(orders!C149,customers!$A$2:$A$1001,customers!$C$2:$C$1001,,,))</f>
        <v>lfrancisco42@fema.gov</v>
      </c>
      <c r="H149" s="9" t="str">
        <f>_xlfn.XLOOKUP(C149,customers!$A$2:$A$1001,customers!$G$2:$G$1001,"")</f>
        <v>United States</v>
      </c>
      <c r="I149" s="10" t="str">
        <f>INDEX(products!$A$2:$G$49,MATCH(orders!$D149,products!$A$2:$A$49,0),MATCH(orders!I$1,products!$A$1:$G$1,0))</f>
        <v>Exc</v>
      </c>
      <c r="J149" s="10" t="str">
        <f>INDEX(products!$A$2:$G$49,MATCH(orders!$D149,products!$A$2:$A$49,0),MATCH(orders!J$1,products!$A$1:$G$1,0))</f>
        <v>M</v>
      </c>
      <c r="K149" s="11">
        <f>INDEX(products!$A$2:$G$49,MATCH(orders!$D149,products!$A$2:$A$49,0),MATCH(orders!K$1,products!$A$1:$G$1,0))</f>
        <v>1</v>
      </c>
      <c r="L149" s="12">
        <f>INDEX(products!$A$2:$G$49,MATCH(orders!$D149,products!$A$2:$A$49,0),MATCH(orders!L$1,products!$A$1:$G$1,0))</f>
        <v>13.75</v>
      </c>
      <c r="M149" s="12">
        <f t="shared" si="6"/>
        <v>27.5</v>
      </c>
      <c r="N149" s="10" t="str">
        <f t="shared" si="7"/>
        <v>Excelsa</v>
      </c>
      <c r="O149" s="10" t="str">
        <f t="shared" si="8"/>
        <v>Medium</v>
      </c>
      <c r="P149" s="10" t="str">
        <f>_xlfn.XLOOKUP(Tableau1[[#This Row],[Customer ID]],customers!A$2:A$1001,customers!I$2:I$1001)</f>
        <v>No</v>
      </c>
    </row>
    <row r="150" spans="1:16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9" t="str">
        <f>_xlfn.XLOOKUP(orders!C150,customers!$A$2:$A$1001,customers!$B$2:$B$1001)</f>
        <v>Giacobo Skingle</v>
      </c>
      <c r="G150" s="9" t="str">
        <f>IF(_xlfn.XLOOKUP(orders!C150,customers!$A$2:$A$1001,customers!$C$2:$C$1001,,,)=0,"",_xlfn.XLOOKUP(orders!C150,customers!$A$2:$A$1001,customers!$C$2:$C$1001,,,))</f>
        <v>gskingle44@clickbank.net</v>
      </c>
      <c r="H150" s="9" t="str">
        <f>_xlfn.XLOOKUP(C150,customers!$A$2:$A$1001,customers!$G$2:$G$1001,"")</f>
        <v>United States</v>
      </c>
      <c r="I150" s="10" t="str">
        <f>INDEX(products!$A$2:$G$49,MATCH(orders!$D150,products!$A$2:$A$49,0),MATCH(orders!I$1,products!$A$1:$G$1,0))</f>
        <v>Exc</v>
      </c>
      <c r="J150" s="10" t="str">
        <f>INDEX(products!$A$2:$G$49,MATCH(orders!$D150,products!$A$2:$A$49,0),MATCH(orders!J$1,products!$A$1:$G$1,0))</f>
        <v>D</v>
      </c>
      <c r="K150" s="11">
        <f>INDEX(products!$A$2:$G$49,MATCH(orders!$D150,products!$A$2:$A$49,0),MATCH(orders!K$1,products!$A$1:$G$1,0))</f>
        <v>0.2</v>
      </c>
      <c r="L150" s="12">
        <f>INDEX(products!$A$2:$G$49,MATCH(orders!$D150,products!$A$2:$A$49,0),MATCH(orders!L$1,products!$A$1:$G$1,0))</f>
        <v>3.645</v>
      </c>
      <c r="M150" s="12">
        <f t="shared" si="6"/>
        <v>18.225000000000001</v>
      </c>
      <c r="N150" s="10" t="str">
        <f t="shared" si="7"/>
        <v>Excelsa</v>
      </c>
      <c r="O150" s="10" t="str">
        <f t="shared" si="8"/>
        <v>Dark</v>
      </c>
      <c r="P150" s="10" t="str">
        <f>_xlfn.XLOOKUP(Tableau1[[#This Row],[Customer ID]],customers!A$2:A$1001,customers!I$2:I$1001)</f>
        <v>Yes</v>
      </c>
    </row>
    <row r="151" spans="1:16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9" t="str">
        <f>_xlfn.XLOOKUP(orders!C151,customers!$A$2:$A$1001,customers!$B$2:$B$1001)</f>
        <v>Gerard Pirdy</v>
      </c>
      <c r="G151" s="9" t="str">
        <f>IF(_xlfn.XLOOKUP(orders!C151,customers!$A$2:$A$1001,customers!$C$2:$C$1001,,,)=0,"",_xlfn.XLOOKUP(orders!C151,customers!$A$2:$A$1001,customers!$C$2:$C$1001,,,))</f>
        <v/>
      </c>
      <c r="H151" s="9" t="str">
        <f>_xlfn.XLOOKUP(C151,customers!$A$2:$A$1001,customers!$G$2:$G$1001,"")</f>
        <v>United States</v>
      </c>
      <c r="I151" s="10" t="str">
        <f>INDEX(products!$A$2:$G$49,MATCH(orders!$D151,products!$A$2:$A$49,0),MATCH(orders!I$1,products!$A$1:$G$1,0))</f>
        <v>Ara</v>
      </c>
      <c r="J151" s="10" t="str">
        <f>INDEX(products!$A$2:$G$49,MATCH(orders!$D151,products!$A$2:$A$49,0),MATCH(orders!J$1,products!$A$1:$G$1,0))</f>
        <v>M</v>
      </c>
      <c r="K151" s="11">
        <f>INDEX(products!$A$2:$G$49,MATCH(orders!$D151,products!$A$2:$A$49,0),MATCH(orders!K$1,products!$A$1:$G$1,0))</f>
        <v>2.5</v>
      </c>
      <c r="L151" s="12">
        <f>INDEX(products!$A$2:$G$49,MATCH(orders!$D151,products!$A$2:$A$49,0),MATCH(orders!L$1,products!$A$1:$G$1,0))</f>
        <v>25.874999999999996</v>
      </c>
      <c r="M151" s="12">
        <f t="shared" si="6"/>
        <v>51.749999999999993</v>
      </c>
      <c r="N151" s="10" t="str">
        <f t="shared" si="7"/>
        <v>Arabica</v>
      </c>
      <c r="O151" s="10" t="str">
        <f t="shared" si="8"/>
        <v>Medium</v>
      </c>
      <c r="P151" s="10" t="str">
        <f>_xlfn.XLOOKUP(Tableau1[[#This Row],[Customer ID]],customers!A$2:A$1001,customers!I$2:I$1001)</f>
        <v>Yes</v>
      </c>
    </row>
    <row r="152" spans="1:16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9" t="str">
        <f>_xlfn.XLOOKUP(orders!C152,customers!$A$2:$A$1001,customers!$B$2:$B$1001)</f>
        <v>Jacinthe Balsillie</v>
      </c>
      <c r="G152" s="9" t="str">
        <f>IF(_xlfn.XLOOKUP(orders!C152,customers!$A$2:$A$1001,customers!$C$2:$C$1001,,,)=0,"",_xlfn.XLOOKUP(orders!C152,customers!$A$2:$A$1001,customers!$C$2:$C$1001,,,))</f>
        <v>jbalsillie46@princeton.edu</v>
      </c>
      <c r="H152" s="9" t="str">
        <f>_xlfn.XLOOKUP(C152,customers!$A$2:$A$1001,customers!$G$2:$G$1001,"")</f>
        <v>United States</v>
      </c>
      <c r="I152" s="10" t="str">
        <f>INDEX(products!$A$2:$G$49,MATCH(orders!$D152,products!$A$2:$A$49,0),MATCH(orders!I$1,products!$A$1:$G$1,0))</f>
        <v>Lib</v>
      </c>
      <c r="J152" s="10" t="str">
        <f>INDEX(products!$A$2:$G$49,MATCH(orders!$D152,products!$A$2:$A$49,0),MATCH(orders!J$1,products!$A$1:$G$1,0))</f>
        <v>D</v>
      </c>
      <c r="K152" s="11">
        <f>INDEX(products!$A$2:$G$49,MATCH(orders!$D152,products!$A$2:$A$49,0),MATCH(orders!K$1,products!$A$1:$G$1,0))</f>
        <v>1</v>
      </c>
      <c r="L152" s="12">
        <f>INDEX(products!$A$2:$G$49,MATCH(orders!$D152,products!$A$2:$A$49,0),MATCH(orders!L$1,products!$A$1:$G$1,0))</f>
        <v>12.95</v>
      </c>
      <c r="M152" s="12">
        <f t="shared" si="6"/>
        <v>12.95</v>
      </c>
      <c r="N152" s="10" t="str">
        <f t="shared" si="7"/>
        <v>Liberica</v>
      </c>
      <c r="O152" s="10" t="str">
        <f t="shared" si="8"/>
        <v>Dark</v>
      </c>
      <c r="P152" s="10" t="str">
        <f>_xlfn.XLOOKUP(Tableau1[[#This Row],[Customer ID]],customers!A$2:A$1001,customers!I$2:I$1001)</f>
        <v>Yes</v>
      </c>
    </row>
    <row r="153" spans="1:16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9" t="str">
        <f>_xlfn.XLOOKUP(orders!C153,customers!$A$2:$A$1001,customers!$B$2:$B$1001)</f>
        <v>Quinton Fouracres</v>
      </c>
      <c r="G153" s="9" t="str">
        <f>IF(_xlfn.XLOOKUP(orders!C153,customers!$A$2:$A$1001,customers!$C$2:$C$1001,,,)=0,"",_xlfn.XLOOKUP(orders!C153,customers!$A$2:$A$1001,customers!$C$2:$C$1001,,,))</f>
        <v/>
      </c>
      <c r="H153" s="9" t="str">
        <f>_xlfn.XLOOKUP(C153,customers!$A$2:$A$1001,customers!$G$2:$G$1001,"")</f>
        <v>United States</v>
      </c>
      <c r="I153" s="10" t="str">
        <f>INDEX(products!$A$2:$G$49,MATCH(orders!$D153,products!$A$2:$A$49,0),MATCH(orders!I$1,products!$A$1:$G$1,0))</f>
        <v>Ara</v>
      </c>
      <c r="J153" s="10" t="str">
        <f>INDEX(products!$A$2:$G$49,MATCH(orders!$D153,products!$A$2:$A$49,0),MATCH(orders!J$1,products!$A$1:$G$1,0))</f>
        <v>M</v>
      </c>
      <c r="K153" s="11">
        <f>INDEX(products!$A$2:$G$49,MATCH(orders!$D153,products!$A$2:$A$49,0),MATCH(orders!K$1,products!$A$1:$G$1,0))</f>
        <v>1</v>
      </c>
      <c r="L153" s="12">
        <f>INDEX(products!$A$2:$G$49,MATCH(orders!$D153,products!$A$2:$A$49,0),MATCH(orders!L$1,products!$A$1:$G$1,0))</f>
        <v>11.25</v>
      </c>
      <c r="M153" s="12">
        <f t="shared" si="6"/>
        <v>33.75</v>
      </c>
      <c r="N153" s="10" t="str">
        <f t="shared" si="7"/>
        <v>Arabica</v>
      </c>
      <c r="O153" s="10" t="str">
        <f t="shared" si="8"/>
        <v>Medium</v>
      </c>
      <c r="P153" s="10" t="str">
        <f>_xlfn.XLOOKUP(Tableau1[[#This Row],[Customer ID]],customers!A$2:A$1001,customers!I$2:I$1001)</f>
        <v>Yes</v>
      </c>
    </row>
    <row r="154" spans="1:16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9" t="str">
        <f>_xlfn.XLOOKUP(orders!C154,customers!$A$2:$A$1001,customers!$B$2:$B$1001)</f>
        <v>Bettina Leffek</v>
      </c>
      <c r="G154" s="9" t="str">
        <f>IF(_xlfn.XLOOKUP(orders!C154,customers!$A$2:$A$1001,customers!$C$2:$C$1001,,,)=0,"",_xlfn.XLOOKUP(orders!C154,customers!$A$2:$A$1001,customers!$C$2:$C$1001,,,))</f>
        <v>bleffek48@ning.com</v>
      </c>
      <c r="H154" s="9" t="str">
        <f>_xlfn.XLOOKUP(C154,customers!$A$2:$A$1001,customers!$G$2:$G$1001,"")</f>
        <v>United States</v>
      </c>
      <c r="I154" s="10" t="str">
        <f>INDEX(products!$A$2:$G$49,MATCH(orders!$D154,products!$A$2:$A$49,0),MATCH(orders!I$1,products!$A$1:$G$1,0))</f>
        <v>Rob</v>
      </c>
      <c r="J154" s="10" t="str">
        <f>INDEX(products!$A$2:$G$49,MATCH(orders!$D154,products!$A$2:$A$49,0),MATCH(orders!J$1,products!$A$1:$G$1,0))</f>
        <v>M</v>
      </c>
      <c r="K154" s="11">
        <f>INDEX(products!$A$2:$G$49,MATCH(orders!$D154,products!$A$2:$A$49,0),MATCH(orders!K$1,products!$A$1:$G$1,0))</f>
        <v>2.5</v>
      </c>
      <c r="L154" s="12">
        <f>INDEX(products!$A$2:$G$49,MATCH(orders!$D154,products!$A$2:$A$49,0),MATCH(orders!L$1,products!$A$1:$G$1,0))</f>
        <v>22.884999999999998</v>
      </c>
      <c r="M154" s="12">
        <f t="shared" si="6"/>
        <v>68.655000000000001</v>
      </c>
      <c r="N154" s="10" t="str">
        <f t="shared" si="7"/>
        <v>Robusta</v>
      </c>
      <c r="O154" s="10" t="str">
        <f t="shared" si="8"/>
        <v>Medium</v>
      </c>
      <c r="P154" s="10" t="str">
        <f>_xlfn.XLOOKUP(Tableau1[[#This Row],[Customer ID]],customers!A$2:A$1001,customers!I$2:I$1001)</f>
        <v>Yes</v>
      </c>
    </row>
    <row r="155" spans="1:16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9" t="str">
        <f>_xlfn.XLOOKUP(orders!C155,customers!$A$2:$A$1001,customers!$B$2:$B$1001)</f>
        <v>Hetti Penson</v>
      </c>
      <c r="G155" s="9" t="str">
        <f>IF(_xlfn.XLOOKUP(orders!C155,customers!$A$2:$A$1001,customers!$C$2:$C$1001,,,)=0,"",_xlfn.XLOOKUP(orders!C155,customers!$A$2:$A$1001,customers!$C$2:$C$1001,,,))</f>
        <v/>
      </c>
      <c r="H155" s="9" t="str">
        <f>_xlfn.XLOOKUP(C155,customers!$A$2:$A$1001,customers!$G$2:$G$1001,"")</f>
        <v>United States</v>
      </c>
      <c r="I155" s="10" t="str">
        <f>INDEX(products!$A$2:$G$49,MATCH(orders!$D155,products!$A$2:$A$49,0),MATCH(orders!I$1,products!$A$1:$G$1,0))</f>
        <v>Rob</v>
      </c>
      <c r="J155" s="10" t="str">
        <f>INDEX(products!$A$2:$G$49,MATCH(orders!$D155,products!$A$2:$A$49,0),MATCH(orders!J$1,products!$A$1:$G$1,0))</f>
        <v>D</v>
      </c>
      <c r="K155" s="11">
        <f>INDEX(products!$A$2:$G$49,MATCH(orders!$D155,products!$A$2:$A$49,0),MATCH(orders!K$1,products!$A$1:$G$1,0))</f>
        <v>0.2</v>
      </c>
      <c r="L155" s="12">
        <f>INDEX(products!$A$2:$G$49,MATCH(orders!$D155,products!$A$2:$A$49,0),MATCH(orders!L$1,products!$A$1:$G$1,0))</f>
        <v>2.6849999999999996</v>
      </c>
      <c r="M155" s="12">
        <f t="shared" si="6"/>
        <v>2.6849999999999996</v>
      </c>
      <c r="N155" s="10" t="str">
        <f t="shared" si="7"/>
        <v>Robusta</v>
      </c>
      <c r="O155" s="10" t="str">
        <f t="shared" si="8"/>
        <v>Dark</v>
      </c>
      <c r="P155" s="10" t="str">
        <f>_xlfn.XLOOKUP(Tableau1[[#This Row],[Customer ID]],customers!A$2:A$1001,customers!I$2:I$1001)</f>
        <v>No</v>
      </c>
    </row>
    <row r="156" spans="1:16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9" t="str">
        <f>_xlfn.XLOOKUP(orders!C156,customers!$A$2:$A$1001,customers!$B$2:$B$1001)</f>
        <v>Jocko Pray</v>
      </c>
      <c r="G156" s="9" t="str">
        <f>IF(_xlfn.XLOOKUP(orders!C156,customers!$A$2:$A$1001,customers!$C$2:$C$1001,,,)=0,"",_xlfn.XLOOKUP(orders!C156,customers!$A$2:$A$1001,customers!$C$2:$C$1001,,,))</f>
        <v>jpray4a@youtube.com</v>
      </c>
      <c r="H156" s="9" t="str">
        <f>_xlfn.XLOOKUP(C156,customers!$A$2:$A$1001,customers!$G$2:$G$1001,"")</f>
        <v>United States</v>
      </c>
      <c r="I156" s="10" t="str">
        <f>INDEX(products!$A$2:$G$49,MATCH(orders!$D156,products!$A$2:$A$49,0),MATCH(orders!I$1,products!$A$1:$G$1,0))</f>
        <v>Ara</v>
      </c>
      <c r="J156" s="10" t="str">
        <f>INDEX(products!$A$2:$G$49,MATCH(orders!$D156,products!$A$2:$A$49,0),MATCH(orders!J$1,products!$A$1:$G$1,0))</f>
        <v>D</v>
      </c>
      <c r="K156" s="11">
        <f>INDEX(products!$A$2:$G$49,MATCH(orders!$D156,products!$A$2:$A$49,0),MATCH(orders!K$1,products!$A$1:$G$1,0))</f>
        <v>2.5</v>
      </c>
      <c r="L156" s="12">
        <f>INDEX(products!$A$2:$G$49,MATCH(orders!$D156,products!$A$2:$A$49,0),MATCH(orders!L$1,products!$A$1:$G$1,0))</f>
        <v>22.884999999999998</v>
      </c>
      <c r="M156" s="12">
        <f t="shared" si="6"/>
        <v>114.42499999999998</v>
      </c>
      <c r="N156" s="10" t="str">
        <f t="shared" si="7"/>
        <v>Arabica</v>
      </c>
      <c r="O156" s="10" t="str">
        <f t="shared" si="8"/>
        <v>Dark</v>
      </c>
      <c r="P156" s="10" t="str">
        <f>_xlfn.XLOOKUP(Tableau1[[#This Row],[Customer ID]],customers!A$2:A$1001,customers!I$2:I$1001)</f>
        <v>No</v>
      </c>
    </row>
    <row r="157" spans="1:16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9" t="str">
        <f>_xlfn.XLOOKUP(orders!C157,customers!$A$2:$A$1001,customers!$B$2:$B$1001)</f>
        <v>Grete Holborn</v>
      </c>
      <c r="G157" s="9" t="str">
        <f>IF(_xlfn.XLOOKUP(orders!C157,customers!$A$2:$A$1001,customers!$C$2:$C$1001,,,)=0,"",_xlfn.XLOOKUP(orders!C157,customers!$A$2:$A$1001,customers!$C$2:$C$1001,,,))</f>
        <v>gholborn4b@ow.ly</v>
      </c>
      <c r="H157" s="9" t="str">
        <f>_xlfn.XLOOKUP(C157,customers!$A$2:$A$1001,customers!$G$2:$G$1001,"")</f>
        <v>United States</v>
      </c>
      <c r="I157" s="10" t="str">
        <f>INDEX(products!$A$2:$G$49,MATCH(orders!$D157,products!$A$2:$A$49,0),MATCH(orders!I$1,products!$A$1:$G$1,0))</f>
        <v>Ara</v>
      </c>
      <c r="J157" s="10" t="str">
        <f>INDEX(products!$A$2:$G$49,MATCH(orders!$D157,products!$A$2:$A$49,0),MATCH(orders!J$1,products!$A$1:$G$1,0))</f>
        <v>M</v>
      </c>
      <c r="K157" s="11">
        <f>INDEX(products!$A$2:$G$49,MATCH(orders!$D157,products!$A$2:$A$49,0),MATCH(orders!K$1,products!$A$1:$G$1,0))</f>
        <v>2.5</v>
      </c>
      <c r="L157" s="12">
        <f>INDEX(products!$A$2:$G$49,MATCH(orders!$D157,products!$A$2:$A$49,0),MATCH(orders!L$1,products!$A$1:$G$1,0))</f>
        <v>25.874999999999996</v>
      </c>
      <c r="M157" s="12">
        <f t="shared" si="6"/>
        <v>155.24999999999997</v>
      </c>
      <c r="N157" s="10" t="str">
        <f t="shared" si="7"/>
        <v>Arabica</v>
      </c>
      <c r="O157" s="10" t="str">
        <f t="shared" si="8"/>
        <v>Medium</v>
      </c>
      <c r="P157" s="10" t="str">
        <f>_xlfn.XLOOKUP(Tableau1[[#This Row],[Customer ID]],customers!A$2:A$1001,customers!I$2:I$1001)</f>
        <v>Yes</v>
      </c>
    </row>
    <row r="158" spans="1:16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9" t="str">
        <f>_xlfn.XLOOKUP(orders!C158,customers!$A$2:$A$1001,customers!$B$2:$B$1001)</f>
        <v>Fielding Keinrat</v>
      </c>
      <c r="G158" s="9" t="str">
        <f>IF(_xlfn.XLOOKUP(orders!C158,customers!$A$2:$A$1001,customers!$C$2:$C$1001,,,)=0,"",_xlfn.XLOOKUP(orders!C158,customers!$A$2:$A$1001,customers!$C$2:$C$1001,,,))</f>
        <v>fkeinrat4c@dailymail.co.uk</v>
      </c>
      <c r="H158" s="9" t="str">
        <f>_xlfn.XLOOKUP(C158,customers!$A$2:$A$1001,customers!$G$2:$G$1001,"")</f>
        <v>United States</v>
      </c>
      <c r="I158" s="10" t="str">
        <f>INDEX(products!$A$2:$G$49,MATCH(orders!$D158,products!$A$2:$A$49,0),MATCH(orders!I$1,products!$A$1:$G$1,0))</f>
        <v>Ara</v>
      </c>
      <c r="J158" s="10" t="str">
        <f>INDEX(products!$A$2:$G$49,MATCH(orders!$D158,products!$A$2:$A$49,0),MATCH(orders!J$1,products!$A$1:$G$1,0))</f>
        <v>M</v>
      </c>
      <c r="K158" s="11">
        <f>INDEX(products!$A$2:$G$49,MATCH(orders!$D158,products!$A$2:$A$49,0),MATCH(orders!K$1,products!$A$1:$G$1,0))</f>
        <v>2.5</v>
      </c>
      <c r="L158" s="12">
        <f>INDEX(products!$A$2:$G$49,MATCH(orders!$D158,products!$A$2:$A$49,0),MATCH(orders!L$1,products!$A$1:$G$1,0))</f>
        <v>25.874999999999996</v>
      </c>
      <c r="M158" s="12">
        <f t="shared" si="6"/>
        <v>77.624999999999986</v>
      </c>
      <c r="N158" s="10" t="str">
        <f t="shared" si="7"/>
        <v>Arabica</v>
      </c>
      <c r="O158" s="10" t="str">
        <f t="shared" si="8"/>
        <v>Medium</v>
      </c>
      <c r="P158" s="10" t="str">
        <f>_xlfn.XLOOKUP(Tableau1[[#This Row],[Customer ID]],customers!A$2:A$1001,customers!I$2:I$1001)</f>
        <v>Yes</v>
      </c>
    </row>
    <row r="159" spans="1:16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9" t="str">
        <f>_xlfn.XLOOKUP(orders!C159,customers!$A$2:$A$1001,customers!$B$2:$B$1001)</f>
        <v>Paulo Yea</v>
      </c>
      <c r="G159" s="9" t="str">
        <f>IF(_xlfn.XLOOKUP(orders!C159,customers!$A$2:$A$1001,customers!$C$2:$C$1001,,,)=0,"",_xlfn.XLOOKUP(orders!C159,customers!$A$2:$A$1001,customers!$C$2:$C$1001,,,))</f>
        <v>pyea4d@aol.com</v>
      </c>
      <c r="H159" s="9" t="str">
        <f>_xlfn.XLOOKUP(C159,customers!$A$2:$A$1001,customers!$G$2:$G$1001,"")</f>
        <v>Ireland</v>
      </c>
      <c r="I159" s="10" t="str">
        <f>INDEX(products!$A$2:$G$49,MATCH(orders!$D159,products!$A$2:$A$49,0),MATCH(orders!I$1,products!$A$1:$G$1,0))</f>
        <v>Rob</v>
      </c>
      <c r="J159" s="10" t="str">
        <f>INDEX(products!$A$2:$G$49,MATCH(orders!$D159,products!$A$2:$A$49,0),MATCH(orders!J$1,products!$A$1:$G$1,0))</f>
        <v>D</v>
      </c>
      <c r="K159" s="11">
        <f>INDEX(products!$A$2:$G$49,MATCH(orders!$D159,products!$A$2:$A$49,0),MATCH(orders!K$1,products!$A$1:$G$1,0))</f>
        <v>2.5</v>
      </c>
      <c r="L159" s="12">
        <f>INDEX(products!$A$2:$G$49,MATCH(orders!$D159,products!$A$2:$A$49,0),MATCH(orders!L$1,products!$A$1:$G$1,0))</f>
        <v>20.584999999999997</v>
      </c>
      <c r="M159" s="12">
        <f t="shared" si="6"/>
        <v>61.754999999999995</v>
      </c>
      <c r="N159" s="10" t="str">
        <f t="shared" si="7"/>
        <v>Robusta</v>
      </c>
      <c r="O159" s="10" t="str">
        <f t="shared" si="8"/>
        <v>Dark</v>
      </c>
      <c r="P159" s="10" t="str">
        <f>_xlfn.XLOOKUP(Tableau1[[#This Row],[Customer ID]],customers!A$2:A$1001,customers!I$2:I$1001)</f>
        <v>No</v>
      </c>
    </row>
    <row r="160" spans="1:16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9" t="str">
        <f>_xlfn.XLOOKUP(orders!C160,customers!$A$2:$A$1001,customers!$B$2:$B$1001)</f>
        <v>Say Risborough</v>
      </c>
      <c r="G160" s="9" t="str">
        <f>IF(_xlfn.XLOOKUP(orders!C160,customers!$A$2:$A$1001,customers!$C$2:$C$1001,,,)=0,"",_xlfn.XLOOKUP(orders!C160,customers!$A$2:$A$1001,customers!$C$2:$C$1001,,,))</f>
        <v/>
      </c>
      <c r="H160" s="9" t="str">
        <f>_xlfn.XLOOKUP(C160,customers!$A$2:$A$1001,customers!$G$2:$G$1001,"")</f>
        <v>United States</v>
      </c>
      <c r="I160" s="10" t="str">
        <f>INDEX(products!$A$2:$G$49,MATCH(orders!$D160,products!$A$2:$A$49,0),MATCH(orders!I$1,products!$A$1:$G$1,0))</f>
        <v>Rob</v>
      </c>
      <c r="J160" s="10" t="str">
        <f>INDEX(products!$A$2:$G$49,MATCH(orders!$D160,products!$A$2:$A$49,0),MATCH(orders!J$1,products!$A$1:$G$1,0))</f>
        <v>D</v>
      </c>
      <c r="K160" s="11">
        <f>INDEX(products!$A$2:$G$49,MATCH(orders!$D160,products!$A$2:$A$49,0),MATCH(orders!K$1,products!$A$1:$G$1,0))</f>
        <v>2.5</v>
      </c>
      <c r="L160" s="12">
        <f>INDEX(products!$A$2:$G$49,MATCH(orders!$D160,products!$A$2:$A$49,0),MATCH(orders!L$1,products!$A$1:$G$1,0))</f>
        <v>20.584999999999997</v>
      </c>
      <c r="M160" s="12">
        <f t="shared" si="6"/>
        <v>123.50999999999999</v>
      </c>
      <c r="N160" s="10" t="str">
        <f t="shared" si="7"/>
        <v>Robusta</v>
      </c>
      <c r="O160" s="10" t="str">
        <f t="shared" si="8"/>
        <v>Dark</v>
      </c>
      <c r="P160" s="10" t="str">
        <f>_xlfn.XLOOKUP(Tableau1[[#This Row],[Customer ID]],customers!A$2:A$1001,customers!I$2:I$1001)</f>
        <v>Yes</v>
      </c>
    </row>
    <row r="161" spans="1:16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9" t="str">
        <f>_xlfn.XLOOKUP(orders!C161,customers!$A$2:$A$1001,customers!$B$2:$B$1001)</f>
        <v>Alexa Sizey</v>
      </c>
      <c r="G161" s="9" t="str">
        <f>IF(_xlfn.XLOOKUP(orders!C161,customers!$A$2:$A$1001,customers!$C$2:$C$1001,,,)=0,"",_xlfn.XLOOKUP(orders!C161,customers!$A$2:$A$1001,customers!$C$2:$C$1001,,,))</f>
        <v/>
      </c>
      <c r="H161" s="9" t="str">
        <f>_xlfn.XLOOKUP(C161,customers!$A$2:$A$1001,customers!$G$2:$G$1001,"")</f>
        <v>United States</v>
      </c>
      <c r="I161" s="10" t="str">
        <f>INDEX(products!$A$2:$G$49,MATCH(orders!$D161,products!$A$2:$A$49,0),MATCH(orders!I$1,products!$A$1:$G$1,0))</f>
        <v>Lib</v>
      </c>
      <c r="J161" s="10" t="str">
        <f>INDEX(products!$A$2:$G$49,MATCH(orders!$D161,products!$A$2:$A$49,0),MATCH(orders!J$1,products!$A$1:$G$1,0))</f>
        <v>L</v>
      </c>
      <c r="K161" s="11">
        <f>INDEX(products!$A$2:$G$49,MATCH(orders!$D161,products!$A$2:$A$49,0),MATCH(orders!K$1,products!$A$1:$G$1,0))</f>
        <v>2.5</v>
      </c>
      <c r="L161" s="12">
        <f>INDEX(products!$A$2:$G$49,MATCH(orders!$D161,products!$A$2:$A$49,0),MATCH(orders!L$1,products!$A$1:$G$1,0))</f>
        <v>36.454999999999998</v>
      </c>
      <c r="M161" s="12">
        <f t="shared" si="6"/>
        <v>218.73</v>
      </c>
      <c r="N161" s="10" t="str">
        <f t="shared" si="7"/>
        <v>Liberica</v>
      </c>
      <c r="O161" s="10" t="str">
        <f t="shared" si="8"/>
        <v>Light</v>
      </c>
      <c r="P161" s="10" t="str">
        <f>_xlfn.XLOOKUP(Tableau1[[#This Row],[Customer ID]],customers!A$2:A$1001,customers!I$2:I$1001)</f>
        <v>No</v>
      </c>
    </row>
    <row r="162" spans="1:16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9" t="str">
        <f>_xlfn.XLOOKUP(orders!C162,customers!$A$2:$A$1001,customers!$B$2:$B$1001)</f>
        <v>Kari Swede</v>
      </c>
      <c r="G162" s="9" t="str">
        <f>IF(_xlfn.XLOOKUP(orders!C162,customers!$A$2:$A$1001,customers!$C$2:$C$1001,,,)=0,"",_xlfn.XLOOKUP(orders!C162,customers!$A$2:$A$1001,customers!$C$2:$C$1001,,,))</f>
        <v>kswede4g@addthis.com</v>
      </c>
      <c r="H162" s="9" t="str">
        <f>_xlfn.XLOOKUP(C162,customers!$A$2:$A$1001,customers!$G$2:$G$1001,"")</f>
        <v>United States</v>
      </c>
      <c r="I162" s="10" t="str">
        <f>INDEX(products!$A$2:$G$49,MATCH(orders!$D162,products!$A$2:$A$49,0),MATCH(orders!I$1,products!$A$1:$G$1,0))</f>
        <v>Exc</v>
      </c>
      <c r="J162" s="10" t="str">
        <f>INDEX(products!$A$2:$G$49,MATCH(orders!$D162,products!$A$2:$A$49,0),MATCH(orders!J$1,products!$A$1:$G$1,0))</f>
        <v>M</v>
      </c>
      <c r="K162" s="11">
        <f>INDEX(products!$A$2:$G$49,MATCH(orders!$D162,products!$A$2:$A$49,0),MATCH(orders!K$1,products!$A$1:$G$1,0))</f>
        <v>0.5</v>
      </c>
      <c r="L162" s="12">
        <f>INDEX(products!$A$2:$G$49,MATCH(orders!$D162,products!$A$2:$A$49,0),MATCH(orders!L$1,products!$A$1:$G$1,0))</f>
        <v>8.25</v>
      </c>
      <c r="M162" s="12">
        <f t="shared" si="6"/>
        <v>33</v>
      </c>
      <c r="N162" s="10" t="str">
        <f t="shared" si="7"/>
        <v>Excelsa</v>
      </c>
      <c r="O162" s="10" t="str">
        <f t="shared" si="8"/>
        <v>Medium</v>
      </c>
      <c r="P162" s="10" t="str">
        <f>_xlfn.XLOOKUP(Tableau1[[#This Row],[Customer ID]],customers!A$2:A$1001,customers!I$2:I$1001)</f>
        <v>No</v>
      </c>
    </row>
    <row r="163" spans="1:16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9" t="str">
        <f>_xlfn.XLOOKUP(orders!C163,customers!$A$2:$A$1001,customers!$B$2:$B$1001)</f>
        <v>Leontine Rubrow</v>
      </c>
      <c r="G163" s="9" t="str">
        <f>IF(_xlfn.XLOOKUP(orders!C163,customers!$A$2:$A$1001,customers!$C$2:$C$1001,,,)=0,"",_xlfn.XLOOKUP(orders!C163,customers!$A$2:$A$1001,customers!$C$2:$C$1001,,,))</f>
        <v>lrubrow4h@microsoft.com</v>
      </c>
      <c r="H163" s="9" t="str">
        <f>_xlfn.XLOOKUP(C163,customers!$A$2:$A$1001,customers!$G$2:$G$1001,"")</f>
        <v>United States</v>
      </c>
      <c r="I163" s="10" t="str">
        <f>INDEX(products!$A$2:$G$49,MATCH(orders!$D163,products!$A$2:$A$49,0),MATCH(orders!I$1,products!$A$1:$G$1,0))</f>
        <v>Ara</v>
      </c>
      <c r="J163" s="10" t="str">
        <f>INDEX(products!$A$2:$G$49,MATCH(orders!$D163,products!$A$2:$A$49,0),MATCH(orders!J$1,products!$A$1:$G$1,0))</f>
        <v>L</v>
      </c>
      <c r="K163" s="11">
        <f>INDEX(products!$A$2:$G$49,MATCH(orders!$D163,products!$A$2:$A$49,0),MATCH(orders!K$1,products!$A$1:$G$1,0))</f>
        <v>0.5</v>
      </c>
      <c r="L163" s="12">
        <f>INDEX(products!$A$2:$G$49,MATCH(orders!$D163,products!$A$2:$A$49,0),MATCH(orders!L$1,products!$A$1:$G$1,0))</f>
        <v>7.77</v>
      </c>
      <c r="M163" s="12">
        <f t="shared" si="6"/>
        <v>23.31</v>
      </c>
      <c r="N163" s="10" t="str">
        <f t="shared" si="7"/>
        <v>Arabica</v>
      </c>
      <c r="O163" s="10" t="str">
        <f t="shared" si="8"/>
        <v>Light</v>
      </c>
      <c r="P163" s="10" t="str">
        <f>_xlfn.XLOOKUP(Tableau1[[#This Row],[Customer ID]],customers!A$2:A$1001,customers!I$2:I$1001)</f>
        <v>No</v>
      </c>
    </row>
    <row r="164" spans="1:16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9" t="str">
        <f>_xlfn.XLOOKUP(orders!C164,customers!$A$2:$A$1001,customers!$B$2:$B$1001)</f>
        <v>Dottie Tift</v>
      </c>
      <c r="G164" s="9" t="str">
        <f>IF(_xlfn.XLOOKUP(orders!C164,customers!$A$2:$A$1001,customers!$C$2:$C$1001,,,)=0,"",_xlfn.XLOOKUP(orders!C164,customers!$A$2:$A$1001,customers!$C$2:$C$1001,,,))</f>
        <v>dtift4i@netvibes.com</v>
      </c>
      <c r="H164" s="9" t="str">
        <f>_xlfn.XLOOKUP(C164,customers!$A$2:$A$1001,customers!$G$2:$G$1001,"")</f>
        <v>United States</v>
      </c>
      <c r="I164" s="10" t="str">
        <f>INDEX(products!$A$2:$G$49,MATCH(orders!$D164,products!$A$2:$A$49,0),MATCH(orders!I$1,products!$A$1:$G$1,0))</f>
        <v>Exc</v>
      </c>
      <c r="J164" s="10" t="str">
        <f>INDEX(products!$A$2:$G$49,MATCH(orders!$D164,products!$A$2:$A$49,0),MATCH(orders!J$1,products!$A$1:$G$1,0))</f>
        <v>D</v>
      </c>
      <c r="K164" s="11">
        <f>INDEX(products!$A$2:$G$49,MATCH(orders!$D164,products!$A$2:$A$49,0),MATCH(orders!K$1,products!$A$1:$G$1,0))</f>
        <v>0.5</v>
      </c>
      <c r="L164" s="12">
        <f>INDEX(products!$A$2:$G$49,MATCH(orders!$D164,products!$A$2:$A$49,0),MATCH(orders!L$1,products!$A$1:$G$1,0))</f>
        <v>7.29</v>
      </c>
      <c r="M164" s="12">
        <f t="shared" si="6"/>
        <v>21.87</v>
      </c>
      <c r="N164" s="10" t="str">
        <f t="shared" si="7"/>
        <v>Excelsa</v>
      </c>
      <c r="O164" s="10" t="str">
        <f t="shared" si="8"/>
        <v>Dark</v>
      </c>
      <c r="P164" s="10" t="str">
        <f>_xlfn.XLOOKUP(Tableau1[[#This Row],[Customer ID]],customers!A$2:A$1001,customers!I$2:I$1001)</f>
        <v>Yes</v>
      </c>
    </row>
    <row r="165" spans="1:16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9" t="str">
        <f>_xlfn.XLOOKUP(orders!C165,customers!$A$2:$A$1001,customers!$B$2:$B$1001)</f>
        <v>Gerardo Schonfeld</v>
      </c>
      <c r="G165" s="9" t="str">
        <f>IF(_xlfn.XLOOKUP(orders!C165,customers!$A$2:$A$1001,customers!$C$2:$C$1001,,,)=0,"",_xlfn.XLOOKUP(orders!C165,customers!$A$2:$A$1001,customers!$C$2:$C$1001,,,))</f>
        <v>gschonfeld4j@oracle.com</v>
      </c>
      <c r="H165" s="9" t="str">
        <f>_xlfn.XLOOKUP(C165,customers!$A$2:$A$1001,customers!$G$2:$G$1001,"")</f>
        <v>United States</v>
      </c>
      <c r="I165" s="10" t="str">
        <f>INDEX(products!$A$2:$G$49,MATCH(orders!$D165,products!$A$2:$A$49,0),MATCH(orders!I$1,products!$A$1:$G$1,0))</f>
        <v>Rob</v>
      </c>
      <c r="J165" s="10" t="str">
        <f>INDEX(products!$A$2:$G$49,MATCH(orders!$D165,products!$A$2:$A$49,0),MATCH(orders!J$1,products!$A$1:$G$1,0))</f>
        <v>D</v>
      </c>
      <c r="K165" s="11">
        <f>INDEX(products!$A$2:$G$49,MATCH(orders!$D165,products!$A$2:$A$49,0),MATCH(orders!K$1,products!$A$1:$G$1,0))</f>
        <v>0.2</v>
      </c>
      <c r="L165" s="12">
        <f>INDEX(products!$A$2:$G$49,MATCH(orders!$D165,products!$A$2:$A$49,0),MATCH(orders!L$1,products!$A$1:$G$1,0))</f>
        <v>2.6849999999999996</v>
      </c>
      <c r="M165" s="12">
        <f t="shared" si="6"/>
        <v>16.11</v>
      </c>
      <c r="N165" s="10" t="str">
        <f t="shared" si="7"/>
        <v>Robusta</v>
      </c>
      <c r="O165" s="10" t="str">
        <f t="shared" si="8"/>
        <v>Dark</v>
      </c>
      <c r="P165" s="10" t="str">
        <f>_xlfn.XLOOKUP(Tableau1[[#This Row],[Customer ID]],customers!A$2:A$1001,customers!I$2:I$1001)</f>
        <v>No</v>
      </c>
    </row>
    <row r="166" spans="1:16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9" t="str">
        <f>_xlfn.XLOOKUP(orders!C166,customers!$A$2:$A$1001,customers!$B$2:$B$1001)</f>
        <v>Claiborne Feye</v>
      </c>
      <c r="G166" s="9" t="str">
        <f>IF(_xlfn.XLOOKUP(orders!C166,customers!$A$2:$A$1001,customers!$C$2:$C$1001,,,)=0,"",_xlfn.XLOOKUP(orders!C166,customers!$A$2:$A$1001,customers!$C$2:$C$1001,,,))</f>
        <v>cfeye4k@google.co.jp</v>
      </c>
      <c r="H166" s="9" t="str">
        <f>_xlfn.XLOOKUP(C166,customers!$A$2:$A$1001,customers!$G$2:$G$1001,"")</f>
        <v>Ireland</v>
      </c>
      <c r="I166" s="10" t="str">
        <f>INDEX(products!$A$2:$G$49,MATCH(orders!$D166,products!$A$2:$A$49,0),MATCH(orders!I$1,products!$A$1:$G$1,0))</f>
        <v>Exc</v>
      </c>
      <c r="J166" s="10" t="str">
        <f>INDEX(products!$A$2:$G$49,MATCH(orders!$D166,products!$A$2:$A$49,0),MATCH(orders!J$1,products!$A$1:$G$1,0))</f>
        <v>D</v>
      </c>
      <c r="K166" s="11">
        <f>INDEX(products!$A$2:$G$49,MATCH(orders!$D166,products!$A$2:$A$49,0),MATCH(orders!K$1,products!$A$1:$G$1,0))</f>
        <v>0.5</v>
      </c>
      <c r="L166" s="12">
        <f>INDEX(products!$A$2:$G$49,MATCH(orders!$D166,products!$A$2:$A$49,0),MATCH(orders!L$1,products!$A$1:$G$1,0))</f>
        <v>7.29</v>
      </c>
      <c r="M166" s="12">
        <f t="shared" si="6"/>
        <v>29.16</v>
      </c>
      <c r="N166" s="10" t="str">
        <f t="shared" si="7"/>
        <v>Excelsa</v>
      </c>
      <c r="O166" s="10" t="str">
        <f t="shared" si="8"/>
        <v>Dark</v>
      </c>
      <c r="P166" s="10" t="str">
        <f>_xlfn.XLOOKUP(Tableau1[[#This Row],[Customer ID]],customers!A$2:A$1001,customers!I$2:I$1001)</f>
        <v>No</v>
      </c>
    </row>
    <row r="167" spans="1:16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9" t="str">
        <f>_xlfn.XLOOKUP(orders!C167,customers!$A$2:$A$1001,customers!$B$2:$B$1001)</f>
        <v>Mina Elstone</v>
      </c>
      <c r="G167" s="9" t="str">
        <f>IF(_xlfn.XLOOKUP(orders!C167,customers!$A$2:$A$1001,customers!$C$2:$C$1001,,,)=0,"",_xlfn.XLOOKUP(orders!C167,customers!$A$2:$A$1001,customers!$C$2:$C$1001,,,))</f>
        <v/>
      </c>
      <c r="H167" s="9" t="str">
        <f>_xlfn.XLOOKUP(C167,customers!$A$2:$A$1001,customers!$G$2:$G$1001,"")</f>
        <v>United States</v>
      </c>
      <c r="I167" s="10" t="str">
        <f>INDEX(products!$A$2:$G$49,MATCH(orders!$D167,products!$A$2:$A$49,0),MATCH(orders!I$1,products!$A$1:$G$1,0))</f>
        <v>Rob</v>
      </c>
      <c r="J167" s="10" t="str">
        <f>INDEX(products!$A$2:$G$49,MATCH(orders!$D167,products!$A$2:$A$49,0),MATCH(orders!J$1,products!$A$1:$G$1,0))</f>
        <v>D</v>
      </c>
      <c r="K167" s="11">
        <f>INDEX(products!$A$2:$G$49,MATCH(orders!$D167,products!$A$2:$A$49,0),MATCH(orders!K$1,products!$A$1:$G$1,0))</f>
        <v>1</v>
      </c>
      <c r="L167" s="12">
        <f>INDEX(products!$A$2:$G$49,MATCH(orders!$D167,products!$A$2:$A$49,0),MATCH(orders!L$1,products!$A$1:$G$1,0))</f>
        <v>8.9499999999999993</v>
      </c>
      <c r="M167" s="12">
        <f t="shared" si="6"/>
        <v>53.699999999999996</v>
      </c>
      <c r="N167" s="10" t="str">
        <f t="shared" si="7"/>
        <v>Robusta</v>
      </c>
      <c r="O167" s="10" t="str">
        <f t="shared" si="8"/>
        <v>Dark</v>
      </c>
      <c r="P167" s="10" t="str">
        <f>_xlfn.XLOOKUP(Tableau1[[#This Row],[Customer ID]],customers!A$2:A$1001,customers!I$2:I$1001)</f>
        <v>Yes</v>
      </c>
    </row>
    <row r="168" spans="1:16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9" t="str">
        <f>_xlfn.XLOOKUP(orders!C168,customers!$A$2:$A$1001,customers!$B$2:$B$1001)</f>
        <v>Sherman Mewrcik</v>
      </c>
      <c r="G168" s="9" t="str">
        <f>IF(_xlfn.XLOOKUP(orders!C168,customers!$A$2:$A$1001,customers!$C$2:$C$1001,,,)=0,"",_xlfn.XLOOKUP(orders!C168,customers!$A$2:$A$1001,customers!$C$2:$C$1001,,,))</f>
        <v/>
      </c>
      <c r="H168" s="9" t="str">
        <f>_xlfn.XLOOKUP(C168,customers!$A$2:$A$1001,customers!$G$2:$G$1001,"")</f>
        <v>United States</v>
      </c>
      <c r="I168" s="10" t="str">
        <f>INDEX(products!$A$2:$G$49,MATCH(orders!$D168,products!$A$2:$A$49,0),MATCH(orders!I$1,products!$A$1:$G$1,0))</f>
        <v>Rob</v>
      </c>
      <c r="J168" s="10" t="str">
        <f>INDEX(products!$A$2:$G$49,MATCH(orders!$D168,products!$A$2:$A$49,0),MATCH(orders!J$1,products!$A$1:$G$1,0))</f>
        <v>D</v>
      </c>
      <c r="K168" s="11">
        <f>INDEX(products!$A$2:$G$49,MATCH(orders!$D168,products!$A$2:$A$49,0),MATCH(orders!K$1,products!$A$1:$G$1,0))</f>
        <v>0.5</v>
      </c>
      <c r="L168" s="12">
        <f>INDEX(products!$A$2:$G$49,MATCH(orders!$D168,products!$A$2:$A$49,0),MATCH(orders!L$1,products!$A$1:$G$1,0))</f>
        <v>5.3699999999999992</v>
      </c>
      <c r="M168" s="12">
        <f t="shared" si="6"/>
        <v>26.849999999999994</v>
      </c>
      <c r="N168" s="10" t="str">
        <f t="shared" si="7"/>
        <v>Robusta</v>
      </c>
      <c r="O168" s="10" t="str">
        <f t="shared" si="8"/>
        <v>Dark</v>
      </c>
      <c r="P168" s="10" t="str">
        <f>_xlfn.XLOOKUP(Tableau1[[#This Row],[Customer ID]],customers!A$2:A$1001,customers!I$2:I$1001)</f>
        <v>Yes</v>
      </c>
    </row>
    <row r="169" spans="1:16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9" t="str">
        <f>_xlfn.XLOOKUP(orders!C169,customers!$A$2:$A$1001,customers!$B$2:$B$1001)</f>
        <v>Tamarah Fero</v>
      </c>
      <c r="G169" s="9" t="str">
        <f>IF(_xlfn.XLOOKUP(orders!C169,customers!$A$2:$A$1001,customers!$C$2:$C$1001,,,)=0,"",_xlfn.XLOOKUP(orders!C169,customers!$A$2:$A$1001,customers!$C$2:$C$1001,,,))</f>
        <v>tfero4n@comsenz.com</v>
      </c>
      <c r="H169" s="9" t="str">
        <f>_xlfn.XLOOKUP(C169,customers!$A$2:$A$1001,customers!$G$2:$G$1001,"")</f>
        <v>United States</v>
      </c>
      <c r="I169" s="10" t="str">
        <f>INDEX(products!$A$2:$G$49,MATCH(orders!$D169,products!$A$2:$A$49,0),MATCH(orders!I$1,products!$A$1:$G$1,0))</f>
        <v>Exc</v>
      </c>
      <c r="J169" s="10" t="str">
        <f>INDEX(products!$A$2:$G$49,MATCH(orders!$D169,products!$A$2:$A$49,0),MATCH(orders!J$1,products!$A$1:$G$1,0))</f>
        <v>M</v>
      </c>
      <c r="K169" s="11">
        <f>INDEX(products!$A$2:$G$49,MATCH(orders!$D169,products!$A$2:$A$49,0),MATCH(orders!K$1,products!$A$1:$G$1,0))</f>
        <v>0.5</v>
      </c>
      <c r="L169" s="12">
        <f>INDEX(products!$A$2:$G$49,MATCH(orders!$D169,products!$A$2:$A$49,0),MATCH(orders!L$1,products!$A$1:$G$1,0))</f>
        <v>8.25</v>
      </c>
      <c r="M169" s="12">
        <f t="shared" si="6"/>
        <v>41.25</v>
      </c>
      <c r="N169" s="10" t="str">
        <f t="shared" si="7"/>
        <v>Excelsa</v>
      </c>
      <c r="O169" s="10" t="str">
        <f t="shared" si="8"/>
        <v>Medium</v>
      </c>
      <c r="P169" s="10" t="str">
        <f>_xlfn.XLOOKUP(Tableau1[[#This Row],[Customer ID]],customers!A$2:A$1001,customers!I$2:I$1001)</f>
        <v>Yes</v>
      </c>
    </row>
    <row r="170" spans="1:16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9" t="str">
        <f>_xlfn.XLOOKUP(orders!C170,customers!$A$2:$A$1001,customers!$B$2:$B$1001)</f>
        <v>Stanislaus Valsler</v>
      </c>
      <c r="G170" s="9" t="str">
        <f>IF(_xlfn.XLOOKUP(orders!C170,customers!$A$2:$A$1001,customers!$C$2:$C$1001,,,)=0,"",_xlfn.XLOOKUP(orders!C170,customers!$A$2:$A$1001,customers!$C$2:$C$1001,,,))</f>
        <v/>
      </c>
      <c r="H170" s="9" t="str">
        <f>_xlfn.XLOOKUP(C170,customers!$A$2:$A$1001,customers!$G$2:$G$1001,"")</f>
        <v>Ireland</v>
      </c>
      <c r="I170" s="10" t="str">
        <f>INDEX(products!$A$2:$G$49,MATCH(orders!$D170,products!$A$2:$A$49,0),MATCH(orders!I$1,products!$A$1:$G$1,0))</f>
        <v>Ara</v>
      </c>
      <c r="J170" s="10" t="str">
        <f>INDEX(products!$A$2:$G$49,MATCH(orders!$D170,products!$A$2:$A$49,0),MATCH(orders!J$1,products!$A$1:$G$1,0))</f>
        <v>M</v>
      </c>
      <c r="K170" s="11">
        <f>INDEX(products!$A$2:$G$49,MATCH(orders!$D170,products!$A$2:$A$49,0),MATCH(orders!K$1,products!$A$1:$G$1,0))</f>
        <v>0.5</v>
      </c>
      <c r="L170" s="12">
        <f>INDEX(products!$A$2:$G$49,MATCH(orders!$D170,products!$A$2:$A$49,0),MATCH(orders!L$1,products!$A$1:$G$1,0))</f>
        <v>6.75</v>
      </c>
      <c r="M170" s="12">
        <f t="shared" si="6"/>
        <v>40.5</v>
      </c>
      <c r="N170" s="10" t="str">
        <f t="shared" si="7"/>
        <v>Arabica</v>
      </c>
      <c r="O170" s="10" t="str">
        <f t="shared" si="8"/>
        <v>Medium</v>
      </c>
      <c r="P170" s="10" t="str">
        <f>_xlfn.XLOOKUP(Tableau1[[#This Row],[Customer ID]],customers!A$2:A$1001,customers!I$2:I$1001)</f>
        <v>No</v>
      </c>
    </row>
    <row r="171" spans="1:16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9" t="str">
        <f>_xlfn.XLOOKUP(orders!C171,customers!$A$2:$A$1001,customers!$B$2:$B$1001)</f>
        <v>Felita Dauney</v>
      </c>
      <c r="G171" s="9" t="str">
        <f>IF(_xlfn.XLOOKUP(orders!C171,customers!$A$2:$A$1001,customers!$C$2:$C$1001,,,)=0,"",_xlfn.XLOOKUP(orders!C171,customers!$A$2:$A$1001,customers!$C$2:$C$1001,,,))</f>
        <v>fdauney4p@sphinn.com</v>
      </c>
      <c r="H171" s="9" t="str">
        <f>_xlfn.XLOOKUP(C171,customers!$A$2:$A$1001,customers!$G$2:$G$1001,"")</f>
        <v>Ireland</v>
      </c>
      <c r="I171" s="10" t="str">
        <f>INDEX(products!$A$2:$G$49,MATCH(orders!$D171,products!$A$2:$A$49,0),MATCH(orders!I$1,products!$A$1:$G$1,0))</f>
        <v>Rob</v>
      </c>
      <c r="J171" s="10" t="str">
        <f>INDEX(products!$A$2:$G$49,MATCH(orders!$D171,products!$A$2:$A$49,0),MATCH(orders!J$1,products!$A$1:$G$1,0))</f>
        <v>D</v>
      </c>
      <c r="K171" s="11">
        <f>INDEX(products!$A$2:$G$49,MATCH(orders!$D171,products!$A$2:$A$49,0),MATCH(orders!K$1,products!$A$1:$G$1,0))</f>
        <v>1</v>
      </c>
      <c r="L171" s="12">
        <f>INDEX(products!$A$2:$G$49,MATCH(orders!$D171,products!$A$2:$A$49,0),MATCH(orders!L$1,products!$A$1:$G$1,0))</f>
        <v>8.9499999999999993</v>
      </c>
      <c r="M171" s="12">
        <f t="shared" si="6"/>
        <v>17.899999999999999</v>
      </c>
      <c r="N171" s="10" t="str">
        <f t="shared" si="7"/>
        <v>Robusta</v>
      </c>
      <c r="O171" s="10" t="str">
        <f t="shared" si="8"/>
        <v>Dark</v>
      </c>
      <c r="P171" s="10" t="str">
        <f>_xlfn.XLOOKUP(Tableau1[[#This Row],[Customer ID]],customers!A$2:A$1001,customers!I$2:I$1001)</f>
        <v>No</v>
      </c>
    </row>
    <row r="172" spans="1:16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9" t="str">
        <f>_xlfn.XLOOKUP(orders!C172,customers!$A$2:$A$1001,customers!$B$2:$B$1001)</f>
        <v>Serena Earley</v>
      </c>
      <c r="G172" s="9" t="str">
        <f>IF(_xlfn.XLOOKUP(orders!C172,customers!$A$2:$A$1001,customers!$C$2:$C$1001,,,)=0,"",_xlfn.XLOOKUP(orders!C172,customers!$A$2:$A$1001,customers!$C$2:$C$1001,,,))</f>
        <v>searley4q@youku.com</v>
      </c>
      <c r="H172" s="9" t="str">
        <f>_xlfn.XLOOKUP(C172,customers!$A$2:$A$1001,customers!$G$2:$G$1001,"")</f>
        <v>United Kingdom</v>
      </c>
      <c r="I172" s="10" t="str">
        <f>INDEX(products!$A$2:$G$49,MATCH(orders!$D172,products!$A$2:$A$49,0),MATCH(orders!I$1,products!$A$1:$G$1,0))</f>
        <v>Exc</v>
      </c>
      <c r="J172" s="10" t="str">
        <f>INDEX(products!$A$2:$G$49,MATCH(orders!$D172,products!$A$2:$A$49,0),MATCH(orders!J$1,products!$A$1:$G$1,0))</f>
        <v>L</v>
      </c>
      <c r="K172" s="11">
        <f>INDEX(products!$A$2:$G$49,MATCH(orders!$D172,products!$A$2:$A$49,0),MATCH(orders!K$1,products!$A$1:$G$1,0))</f>
        <v>2.5</v>
      </c>
      <c r="L172" s="12">
        <f>INDEX(products!$A$2:$G$49,MATCH(orders!$D172,products!$A$2:$A$49,0),MATCH(orders!L$1,products!$A$1:$G$1,0))</f>
        <v>34.154999999999994</v>
      </c>
      <c r="M172" s="12">
        <f t="shared" si="6"/>
        <v>68.309999999999988</v>
      </c>
      <c r="N172" s="10" t="str">
        <f t="shared" si="7"/>
        <v>Excelsa</v>
      </c>
      <c r="O172" s="10" t="str">
        <f t="shared" si="8"/>
        <v>Light</v>
      </c>
      <c r="P172" s="10" t="str">
        <f>_xlfn.XLOOKUP(Tableau1[[#This Row],[Customer ID]],customers!A$2:A$1001,customers!I$2:I$1001)</f>
        <v>No</v>
      </c>
    </row>
    <row r="173" spans="1:16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9" t="str">
        <f>_xlfn.XLOOKUP(orders!C173,customers!$A$2:$A$1001,customers!$B$2:$B$1001)</f>
        <v>Minny Chamberlayne</v>
      </c>
      <c r="G173" s="9" t="str">
        <f>IF(_xlfn.XLOOKUP(orders!C173,customers!$A$2:$A$1001,customers!$C$2:$C$1001,,,)=0,"",_xlfn.XLOOKUP(orders!C173,customers!$A$2:$A$1001,customers!$C$2:$C$1001,,,))</f>
        <v>mchamberlayne4r@bigcartel.com</v>
      </c>
      <c r="H173" s="9" t="str">
        <f>_xlfn.XLOOKUP(C173,customers!$A$2:$A$1001,customers!$G$2:$G$1001,"")</f>
        <v>United States</v>
      </c>
      <c r="I173" s="10" t="str">
        <f>INDEX(products!$A$2:$G$49,MATCH(orders!$D173,products!$A$2:$A$49,0),MATCH(orders!I$1,products!$A$1:$G$1,0))</f>
        <v>Exc</v>
      </c>
      <c r="J173" s="10" t="str">
        <f>INDEX(products!$A$2:$G$49,MATCH(orders!$D173,products!$A$2:$A$49,0),MATCH(orders!J$1,products!$A$1:$G$1,0))</f>
        <v>M</v>
      </c>
      <c r="K173" s="11">
        <f>INDEX(products!$A$2:$G$49,MATCH(orders!$D173,products!$A$2:$A$49,0),MATCH(orders!K$1,products!$A$1:$G$1,0))</f>
        <v>2.5</v>
      </c>
      <c r="L173" s="12">
        <f>INDEX(products!$A$2:$G$49,MATCH(orders!$D173,products!$A$2:$A$49,0),MATCH(orders!L$1,products!$A$1:$G$1,0))</f>
        <v>31.624999999999996</v>
      </c>
      <c r="M173" s="12">
        <f t="shared" si="6"/>
        <v>63.249999999999993</v>
      </c>
      <c r="N173" s="10" t="str">
        <f t="shared" si="7"/>
        <v>Excelsa</v>
      </c>
      <c r="O173" s="10" t="str">
        <f t="shared" si="8"/>
        <v>Medium</v>
      </c>
      <c r="P173" s="10" t="str">
        <f>_xlfn.XLOOKUP(Tableau1[[#This Row],[Customer ID]],customers!A$2:A$1001,customers!I$2:I$1001)</f>
        <v>Yes</v>
      </c>
    </row>
    <row r="174" spans="1:16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9" t="str">
        <f>_xlfn.XLOOKUP(orders!C174,customers!$A$2:$A$1001,customers!$B$2:$B$1001)</f>
        <v>Bartholemy Flaherty</v>
      </c>
      <c r="G174" s="9" t="str">
        <f>IF(_xlfn.XLOOKUP(orders!C174,customers!$A$2:$A$1001,customers!$C$2:$C$1001,,,)=0,"",_xlfn.XLOOKUP(orders!C174,customers!$A$2:$A$1001,customers!$C$2:$C$1001,,,))</f>
        <v>bflaherty4s@moonfruit.com</v>
      </c>
      <c r="H174" s="9" t="str">
        <f>_xlfn.XLOOKUP(C174,customers!$A$2:$A$1001,customers!$G$2:$G$1001,"")</f>
        <v>Ireland</v>
      </c>
      <c r="I174" s="10" t="str">
        <f>INDEX(products!$A$2:$G$49,MATCH(orders!$D174,products!$A$2:$A$49,0),MATCH(orders!I$1,products!$A$1:$G$1,0))</f>
        <v>Exc</v>
      </c>
      <c r="J174" s="10" t="str">
        <f>INDEX(products!$A$2:$G$49,MATCH(orders!$D174,products!$A$2:$A$49,0),MATCH(orders!J$1,products!$A$1:$G$1,0))</f>
        <v>D</v>
      </c>
      <c r="K174" s="11">
        <f>INDEX(products!$A$2:$G$49,MATCH(orders!$D174,products!$A$2:$A$49,0),MATCH(orders!K$1,products!$A$1:$G$1,0))</f>
        <v>0.5</v>
      </c>
      <c r="L174" s="12">
        <f>INDEX(products!$A$2:$G$49,MATCH(orders!$D174,products!$A$2:$A$49,0),MATCH(orders!L$1,products!$A$1:$G$1,0))</f>
        <v>7.29</v>
      </c>
      <c r="M174" s="12">
        <f t="shared" si="6"/>
        <v>21.87</v>
      </c>
      <c r="N174" s="10" t="str">
        <f t="shared" si="7"/>
        <v>Excelsa</v>
      </c>
      <c r="O174" s="10" t="str">
        <f t="shared" si="8"/>
        <v>Dark</v>
      </c>
      <c r="P174" s="10" t="str">
        <f>_xlfn.XLOOKUP(Tableau1[[#This Row],[Customer ID]],customers!A$2:A$1001,customers!I$2:I$1001)</f>
        <v>No</v>
      </c>
    </row>
    <row r="175" spans="1:16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9" t="str">
        <f>_xlfn.XLOOKUP(orders!C175,customers!$A$2:$A$1001,customers!$B$2:$B$1001)</f>
        <v>Oran Colbeck</v>
      </c>
      <c r="G175" s="9" t="str">
        <f>IF(_xlfn.XLOOKUP(orders!C175,customers!$A$2:$A$1001,customers!$C$2:$C$1001,,,)=0,"",_xlfn.XLOOKUP(orders!C175,customers!$A$2:$A$1001,customers!$C$2:$C$1001,,,))</f>
        <v>ocolbeck4t@sina.com.cn</v>
      </c>
      <c r="H175" s="9" t="str">
        <f>_xlfn.XLOOKUP(C175,customers!$A$2:$A$1001,customers!$G$2:$G$1001,"")</f>
        <v>United States</v>
      </c>
      <c r="I175" s="10" t="str">
        <f>INDEX(products!$A$2:$G$49,MATCH(orders!$D175,products!$A$2:$A$49,0),MATCH(orders!I$1,products!$A$1:$G$1,0))</f>
        <v>Rob</v>
      </c>
      <c r="J175" s="10" t="str">
        <f>INDEX(products!$A$2:$G$49,MATCH(orders!$D175,products!$A$2:$A$49,0),MATCH(orders!J$1,products!$A$1:$G$1,0))</f>
        <v>M</v>
      </c>
      <c r="K175" s="11">
        <f>INDEX(products!$A$2:$G$49,MATCH(orders!$D175,products!$A$2:$A$49,0),MATCH(orders!K$1,products!$A$1:$G$1,0))</f>
        <v>2.5</v>
      </c>
      <c r="L175" s="12">
        <f>INDEX(products!$A$2:$G$49,MATCH(orders!$D175,products!$A$2:$A$49,0),MATCH(orders!L$1,products!$A$1:$G$1,0))</f>
        <v>22.884999999999998</v>
      </c>
      <c r="M175" s="12">
        <f t="shared" si="6"/>
        <v>91.539999999999992</v>
      </c>
      <c r="N175" s="10" t="str">
        <f t="shared" si="7"/>
        <v>Robusta</v>
      </c>
      <c r="O175" s="10" t="str">
        <f t="shared" si="8"/>
        <v>Medium</v>
      </c>
      <c r="P175" s="10" t="str">
        <f>_xlfn.XLOOKUP(Tableau1[[#This Row],[Customer ID]],customers!A$2:A$1001,customers!I$2:I$1001)</f>
        <v>No</v>
      </c>
    </row>
    <row r="176" spans="1:16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9" t="str">
        <f>_xlfn.XLOOKUP(orders!C176,customers!$A$2:$A$1001,customers!$B$2:$B$1001)</f>
        <v>Elysee Sketch</v>
      </c>
      <c r="G176" s="9" t="str">
        <f>IF(_xlfn.XLOOKUP(orders!C176,customers!$A$2:$A$1001,customers!$C$2:$C$1001,,,)=0,"",_xlfn.XLOOKUP(orders!C176,customers!$A$2:$A$1001,customers!$C$2:$C$1001,,,))</f>
        <v/>
      </c>
      <c r="H176" s="9" t="str">
        <f>_xlfn.XLOOKUP(C176,customers!$A$2:$A$1001,customers!$G$2:$G$1001,"")</f>
        <v>United States</v>
      </c>
      <c r="I176" s="10" t="str">
        <f>INDEX(products!$A$2:$G$49,MATCH(orders!$D176,products!$A$2:$A$49,0),MATCH(orders!I$1,products!$A$1:$G$1,0))</f>
        <v>Exc</v>
      </c>
      <c r="J176" s="10" t="str">
        <f>INDEX(products!$A$2:$G$49,MATCH(orders!$D176,products!$A$2:$A$49,0),MATCH(orders!J$1,products!$A$1:$G$1,0))</f>
        <v>L</v>
      </c>
      <c r="K176" s="11">
        <f>INDEX(products!$A$2:$G$49,MATCH(orders!$D176,products!$A$2:$A$49,0),MATCH(orders!K$1,products!$A$1:$G$1,0))</f>
        <v>2.5</v>
      </c>
      <c r="L176" s="12">
        <f>INDEX(products!$A$2:$G$49,MATCH(orders!$D176,products!$A$2:$A$49,0),MATCH(orders!L$1,products!$A$1:$G$1,0))</f>
        <v>34.154999999999994</v>
      </c>
      <c r="M176" s="12">
        <f t="shared" si="6"/>
        <v>204.92999999999995</v>
      </c>
      <c r="N176" s="10" t="str">
        <f t="shared" si="7"/>
        <v>Excelsa</v>
      </c>
      <c r="O176" s="10" t="str">
        <f t="shared" si="8"/>
        <v>Light</v>
      </c>
      <c r="P176" s="10" t="str">
        <f>_xlfn.XLOOKUP(Tableau1[[#This Row],[Customer ID]],customers!A$2:A$1001,customers!I$2:I$1001)</f>
        <v>Yes</v>
      </c>
    </row>
    <row r="177" spans="1:16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9" t="str">
        <f>_xlfn.XLOOKUP(orders!C177,customers!$A$2:$A$1001,customers!$B$2:$B$1001)</f>
        <v>Ethelda Hobbing</v>
      </c>
      <c r="G177" s="9" t="str">
        <f>IF(_xlfn.XLOOKUP(orders!C177,customers!$A$2:$A$1001,customers!$C$2:$C$1001,,,)=0,"",_xlfn.XLOOKUP(orders!C177,customers!$A$2:$A$1001,customers!$C$2:$C$1001,,,))</f>
        <v>ehobbing4v@nsw.gov.au</v>
      </c>
      <c r="H177" s="9" t="str">
        <f>_xlfn.XLOOKUP(C177,customers!$A$2:$A$1001,customers!$G$2:$G$1001,"")</f>
        <v>United States</v>
      </c>
      <c r="I177" s="10" t="str">
        <f>INDEX(products!$A$2:$G$49,MATCH(orders!$D177,products!$A$2:$A$49,0),MATCH(orders!I$1,products!$A$1:$G$1,0))</f>
        <v>Exc</v>
      </c>
      <c r="J177" s="10" t="str">
        <f>INDEX(products!$A$2:$G$49,MATCH(orders!$D177,products!$A$2:$A$49,0),MATCH(orders!J$1,products!$A$1:$G$1,0))</f>
        <v>M</v>
      </c>
      <c r="K177" s="11">
        <f>INDEX(products!$A$2:$G$49,MATCH(orders!$D177,products!$A$2:$A$49,0),MATCH(orders!K$1,products!$A$1:$G$1,0))</f>
        <v>2.5</v>
      </c>
      <c r="L177" s="12">
        <f>INDEX(products!$A$2:$G$49,MATCH(orders!$D177,products!$A$2:$A$49,0),MATCH(orders!L$1,products!$A$1:$G$1,0))</f>
        <v>31.624999999999996</v>
      </c>
      <c r="M177" s="12">
        <f t="shared" si="6"/>
        <v>63.249999999999993</v>
      </c>
      <c r="N177" s="10" t="str">
        <f t="shared" si="7"/>
        <v>Excelsa</v>
      </c>
      <c r="O177" s="10" t="str">
        <f t="shared" si="8"/>
        <v>Medium</v>
      </c>
      <c r="P177" s="10" t="str">
        <f>_xlfn.XLOOKUP(Tableau1[[#This Row],[Customer ID]],customers!A$2:A$1001,customers!I$2:I$1001)</f>
        <v>Yes</v>
      </c>
    </row>
    <row r="178" spans="1:16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9" t="str">
        <f>_xlfn.XLOOKUP(orders!C178,customers!$A$2:$A$1001,customers!$B$2:$B$1001)</f>
        <v>Odille Thynne</v>
      </c>
      <c r="G178" s="9" t="str">
        <f>IF(_xlfn.XLOOKUP(orders!C178,customers!$A$2:$A$1001,customers!$C$2:$C$1001,,,)=0,"",_xlfn.XLOOKUP(orders!C178,customers!$A$2:$A$1001,customers!$C$2:$C$1001,,,))</f>
        <v>othynne4w@auda.org.au</v>
      </c>
      <c r="H178" s="9" t="str">
        <f>_xlfn.XLOOKUP(C178,customers!$A$2:$A$1001,customers!$G$2:$G$1001,"")</f>
        <v>United States</v>
      </c>
      <c r="I178" s="10" t="str">
        <f>INDEX(products!$A$2:$G$49,MATCH(orders!$D178,products!$A$2:$A$49,0),MATCH(orders!I$1,products!$A$1:$G$1,0))</f>
        <v>Exc</v>
      </c>
      <c r="J178" s="10" t="str">
        <f>INDEX(products!$A$2:$G$49,MATCH(orders!$D178,products!$A$2:$A$49,0),MATCH(orders!J$1,products!$A$1:$G$1,0))</f>
        <v>L</v>
      </c>
      <c r="K178" s="11">
        <f>INDEX(products!$A$2:$G$49,MATCH(orders!$D178,products!$A$2:$A$49,0),MATCH(orders!K$1,products!$A$1:$G$1,0))</f>
        <v>2.5</v>
      </c>
      <c r="L178" s="12">
        <f>INDEX(products!$A$2:$G$49,MATCH(orders!$D178,products!$A$2:$A$49,0),MATCH(orders!L$1,products!$A$1:$G$1,0))</f>
        <v>34.154999999999994</v>
      </c>
      <c r="M178" s="12">
        <f t="shared" si="6"/>
        <v>34.154999999999994</v>
      </c>
      <c r="N178" s="10" t="str">
        <f t="shared" si="7"/>
        <v>Excelsa</v>
      </c>
      <c r="O178" s="10" t="str">
        <f t="shared" si="8"/>
        <v>Light</v>
      </c>
      <c r="P178" s="10" t="str">
        <f>_xlfn.XLOOKUP(Tableau1[[#This Row],[Customer ID]],customers!A$2:A$1001,customers!I$2:I$1001)</f>
        <v>Yes</v>
      </c>
    </row>
    <row r="179" spans="1:16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9" t="str">
        <f>_xlfn.XLOOKUP(orders!C179,customers!$A$2:$A$1001,customers!$B$2:$B$1001)</f>
        <v>Emlynne Heining</v>
      </c>
      <c r="G179" s="9" t="str">
        <f>IF(_xlfn.XLOOKUP(orders!C179,customers!$A$2:$A$1001,customers!$C$2:$C$1001,,,)=0,"",_xlfn.XLOOKUP(orders!C179,customers!$A$2:$A$1001,customers!$C$2:$C$1001,,,))</f>
        <v>eheining4x@flickr.com</v>
      </c>
      <c r="H179" s="9" t="str">
        <f>_xlfn.XLOOKUP(C179,customers!$A$2:$A$1001,customers!$G$2:$G$1001,"")</f>
        <v>United States</v>
      </c>
      <c r="I179" s="10" t="str">
        <f>INDEX(products!$A$2:$G$49,MATCH(orders!$D179,products!$A$2:$A$49,0),MATCH(orders!I$1,products!$A$1:$G$1,0))</f>
        <v>Rob</v>
      </c>
      <c r="J179" s="10" t="str">
        <f>INDEX(products!$A$2:$G$49,MATCH(orders!$D179,products!$A$2:$A$49,0),MATCH(orders!J$1,products!$A$1:$G$1,0))</f>
        <v>L</v>
      </c>
      <c r="K179" s="11">
        <f>INDEX(products!$A$2:$G$49,MATCH(orders!$D179,products!$A$2:$A$49,0),MATCH(orders!K$1,products!$A$1:$G$1,0))</f>
        <v>2.5</v>
      </c>
      <c r="L179" s="12">
        <f>INDEX(products!$A$2:$G$49,MATCH(orders!$D179,products!$A$2:$A$49,0),MATCH(orders!L$1,products!$A$1:$G$1,0))</f>
        <v>27.484999999999996</v>
      </c>
      <c r="M179" s="12">
        <f t="shared" si="6"/>
        <v>109.93999999999998</v>
      </c>
      <c r="N179" s="10" t="str">
        <f t="shared" si="7"/>
        <v>Robusta</v>
      </c>
      <c r="O179" s="10" t="str">
        <f t="shared" si="8"/>
        <v>Light</v>
      </c>
      <c r="P179" s="10" t="str">
        <f>_xlfn.XLOOKUP(Tableau1[[#This Row],[Customer ID]],customers!A$2:A$1001,customers!I$2:I$1001)</f>
        <v>Yes</v>
      </c>
    </row>
    <row r="180" spans="1:16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9" t="str">
        <f>_xlfn.XLOOKUP(orders!C180,customers!$A$2:$A$1001,customers!$B$2:$B$1001)</f>
        <v>Katerina Melloi</v>
      </c>
      <c r="G180" s="9" t="str">
        <f>IF(_xlfn.XLOOKUP(orders!C180,customers!$A$2:$A$1001,customers!$C$2:$C$1001,,,)=0,"",_xlfn.XLOOKUP(orders!C180,customers!$A$2:$A$1001,customers!$C$2:$C$1001,,,))</f>
        <v>kmelloi4y@imdb.com</v>
      </c>
      <c r="H180" s="9" t="str">
        <f>_xlfn.XLOOKUP(C180,customers!$A$2:$A$1001,customers!$G$2:$G$1001,"")</f>
        <v>United States</v>
      </c>
      <c r="I180" s="10" t="str">
        <f>INDEX(products!$A$2:$G$49,MATCH(orders!$D180,products!$A$2:$A$49,0),MATCH(orders!I$1,products!$A$1:$G$1,0))</f>
        <v>Ara</v>
      </c>
      <c r="J180" s="10" t="str">
        <f>INDEX(products!$A$2:$G$49,MATCH(orders!$D180,products!$A$2:$A$49,0),MATCH(orders!J$1,products!$A$1:$G$1,0))</f>
        <v>L</v>
      </c>
      <c r="K180" s="11">
        <f>INDEX(products!$A$2:$G$49,MATCH(orders!$D180,products!$A$2:$A$49,0),MATCH(orders!K$1,products!$A$1:$G$1,0))</f>
        <v>1</v>
      </c>
      <c r="L180" s="12">
        <f>INDEX(products!$A$2:$G$49,MATCH(orders!$D180,products!$A$2:$A$49,0),MATCH(orders!L$1,products!$A$1:$G$1,0))</f>
        <v>12.95</v>
      </c>
      <c r="M180" s="12">
        <f t="shared" si="6"/>
        <v>25.9</v>
      </c>
      <c r="N180" s="10" t="str">
        <f t="shared" si="7"/>
        <v>Arabica</v>
      </c>
      <c r="O180" s="10" t="str">
        <f t="shared" si="8"/>
        <v>Light</v>
      </c>
      <c r="P180" s="10" t="str">
        <f>_xlfn.XLOOKUP(Tableau1[[#This Row],[Customer ID]],customers!A$2:A$1001,customers!I$2:I$1001)</f>
        <v>No</v>
      </c>
    </row>
    <row r="181" spans="1:16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9" t="str">
        <f>_xlfn.XLOOKUP(orders!C181,customers!$A$2:$A$1001,customers!$B$2:$B$1001)</f>
        <v>Tiffany Scardafield</v>
      </c>
      <c r="G181" s="9" t="str">
        <f>IF(_xlfn.XLOOKUP(orders!C181,customers!$A$2:$A$1001,customers!$C$2:$C$1001,,,)=0,"",_xlfn.XLOOKUP(orders!C181,customers!$A$2:$A$1001,customers!$C$2:$C$1001,,,))</f>
        <v/>
      </c>
      <c r="H181" s="9" t="str">
        <f>_xlfn.XLOOKUP(C181,customers!$A$2:$A$1001,customers!$G$2:$G$1001,"")</f>
        <v>Ireland</v>
      </c>
      <c r="I181" s="10" t="str">
        <f>INDEX(products!$A$2:$G$49,MATCH(orders!$D181,products!$A$2:$A$49,0),MATCH(orders!I$1,products!$A$1:$G$1,0))</f>
        <v>Ara</v>
      </c>
      <c r="J181" s="10" t="str">
        <f>INDEX(products!$A$2:$G$49,MATCH(orders!$D181,products!$A$2:$A$49,0),MATCH(orders!J$1,products!$A$1:$G$1,0))</f>
        <v>D</v>
      </c>
      <c r="K181" s="11">
        <f>INDEX(products!$A$2:$G$49,MATCH(orders!$D181,products!$A$2:$A$49,0),MATCH(orders!K$1,products!$A$1:$G$1,0))</f>
        <v>0.2</v>
      </c>
      <c r="L181" s="12">
        <f>INDEX(products!$A$2:$G$49,MATCH(orders!$D181,products!$A$2:$A$49,0),MATCH(orders!L$1,products!$A$1:$G$1,0))</f>
        <v>2.9849999999999999</v>
      </c>
      <c r="M181" s="12">
        <f t="shared" si="6"/>
        <v>2.9849999999999999</v>
      </c>
      <c r="N181" s="10" t="str">
        <f t="shared" si="7"/>
        <v>Arabica</v>
      </c>
      <c r="O181" s="10" t="str">
        <f t="shared" si="8"/>
        <v>Dark</v>
      </c>
      <c r="P181" s="10" t="str">
        <f>_xlfn.XLOOKUP(Tableau1[[#This Row],[Customer ID]],customers!A$2:A$1001,customers!I$2:I$1001)</f>
        <v>No</v>
      </c>
    </row>
    <row r="182" spans="1:16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9" t="str">
        <f>_xlfn.XLOOKUP(orders!C182,customers!$A$2:$A$1001,customers!$B$2:$B$1001)</f>
        <v>Abrahan Mussen</v>
      </c>
      <c r="G182" s="9" t="str">
        <f>IF(_xlfn.XLOOKUP(orders!C182,customers!$A$2:$A$1001,customers!$C$2:$C$1001,,,)=0,"",_xlfn.XLOOKUP(orders!C182,customers!$A$2:$A$1001,customers!$C$2:$C$1001,,,))</f>
        <v>amussen50@51.la</v>
      </c>
      <c r="H182" s="9" t="str">
        <f>_xlfn.XLOOKUP(C182,customers!$A$2:$A$1001,customers!$G$2:$G$1001,"")</f>
        <v>United States</v>
      </c>
      <c r="I182" s="10" t="str">
        <f>INDEX(products!$A$2:$G$49,MATCH(orders!$D182,products!$A$2:$A$49,0),MATCH(orders!I$1,products!$A$1:$G$1,0))</f>
        <v>Exc</v>
      </c>
      <c r="J182" s="10" t="str">
        <f>INDEX(products!$A$2:$G$49,MATCH(orders!$D182,products!$A$2:$A$49,0),MATCH(orders!J$1,products!$A$1:$G$1,0))</f>
        <v>L</v>
      </c>
      <c r="K182" s="11">
        <f>INDEX(products!$A$2:$G$49,MATCH(orders!$D182,products!$A$2:$A$49,0),MATCH(orders!K$1,products!$A$1:$G$1,0))</f>
        <v>0.2</v>
      </c>
      <c r="L182" s="12">
        <f>INDEX(products!$A$2:$G$49,MATCH(orders!$D182,products!$A$2:$A$49,0),MATCH(orders!L$1,products!$A$1:$G$1,0))</f>
        <v>4.4550000000000001</v>
      </c>
      <c r="M182" s="12">
        <f t="shared" si="6"/>
        <v>22.274999999999999</v>
      </c>
      <c r="N182" s="10" t="str">
        <f t="shared" si="7"/>
        <v>Excelsa</v>
      </c>
      <c r="O182" s="10" t="str">
        <f t="shared" si="8"/>
        <v>Light</v>
      </c>
      <c r="P182" s="10" t="str">
        <f>_xlfn.XLOOKUP(Tableau1[[#This Row],[Customer ID]],customers!A$2:A$1001,customers!I$2:I$1001)</f>
        <v>No</v>
      </c>
    </row>
    <row r="183" spans="1:16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9" t="str">
        <f>_xlfn.XLOOKUP(orders!C183,customers!$A$2:$A$1001,customers!$B$2:$B$1001)</f>
        <v>Abrahan Mussen</v>
      </c>
      <c r="G183" s="9" t="str">
        <f>IF(_xlfn.XLOOKUP(orders!C183,customers!$A$2:$A$1001,customers!$C$2:$C$1001,,,)=0,"",_xlfn.XLOOKUP(orders!C183,customers!$A$2:$A$1001,customers!$C$2:$C$1001,,,))</f>
        <v>amussen50@51.la</v>
      </c>
      <c r="H183" s="9" t="str">
        <f>_xlfn.XLOOKUP(C183,customers!$A$2:$A$1001,customers!$G$2:$G$1001,"")</f>
        <v>United States</v>
      </c>
      <c r="I183" s="10" t="str">
        <f>INDEX(products!$A$2:$G$49,MATCH(orders!$D183,products!$A$2:$A$49,0),MATCH(orders!I$1,products!$A$1:$G$1,0))</f>
        <v>Ara</v>
      </c>
      <c r="J183" s="10" t="str">
        <f>INDEX(products!$A$2:$G$49,MATCH(orders!$D183,products!$A$2:$A$49,0),MATCH(orders!J$1,products!$A$1:$G$1,0))</f>
        <v>D</v>
      </c>
      <c r="K183" s="11">
        <f>INDEX(products!$A$2:$G$49,MATCH(orders!$D183,products!$A$2:$A$49,0),MATCH(orders!K$1,products!$A$1:$G$1,0))</f>
        <v>0.5</v>
      </c>
      <c r="L183" s="12">
        <f>INDEX(products!$A$2:$G$49,MATCH(orders!$D183,products!$A$2:$A$49,0),MATCH(orders!L$1,products!$A$1:$G$1,0))</f>
        <v>5.97</v>
      </c>
      <c r="M183" s="12">
        <f t="shared" si="6"/>
        <v>29.849999999999998</v>
      </c>
      <c r="N183" s="10" t="str">
        <f t="shared" si="7"/>
        <v>Arabica</v>
      </c>
      <c r="O183" s="10" t="str">
        <f t="shared" si="8"/>
        <v>Dark</v>
      </c>
      <c r="P183" s="10" t="str">
        <f>_xlfn.XLOOKUP(Tableau1[[#This Row],[Customer ID]],customers!A$2:A$1001,customers!I$2:I$1001)</f>
        <v>No</v>
      </c>
    </row>
    <row r="184" spans="1:16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9" t="str">
        <f>_xlfn.XLOOKUP(orders!C184,customers!$A$2:$A$1001,customers!$B$2:$B$1001)</f>
        <v>Anny Mundford</v>
      </c>
      <c r="G184" s="9" t="str">
        <f>IF(_xlfn.XLOOKUP(orders!C184,customers!$A$2:$A$1001,customers!$C$2:$C$1001,,,)=0,"",_xlfn.XLOOKUP(orders!C184,customers!$A$2:$A$1001,customers!$C$2:$C$1001,,,))</f>
        <v>amundford52@nbcnews.com</v>
      </c>
      <c r="H184" s="9" t="str">
        <f>_xlfn.XLOOKUP(C184,customers!$A$2:$A$1001,customers!$G$2:$G$1001,"")</f>
        <v>United States</v>
      </c>
      <c r="I184" s="10" t="str">
        <f>INDEX(products!$A$2:$G$49,MATCH(orders!$D184,products!$A$2:$A$49,0),MATCH(orders!I$1,products!$A$1:$G$1,0))</f>
        <v>Rob</v>
      </c>
      <c r="J184" s="10" t="str">
        <f>INDEX(products!$A$2:$G$49,MATCH(orders!$D184,products!$A$2:$A$49,0),MATCH(orders!J$1,products!$A$1:$G$1,0))</f>
        <v>D</v>
      </c>
      <c r="K184" s="11">
        <f>INDEX(products!$A$2:$G$49,MATCH(orders!$D184,products!$A$2:$A$49,0),MATCH(orders!K$1,products!$A$1:$G$1,0))</f>
        <v>0.5</v>
      </c>
      <c r="L184" s="12">
        <f>INDEX(products!$A$2:$G$49,MATCH(orders!$D184,products!$A$2:$A$49,0),MATCH(orders!L$1,products!$A$1:$G$1,0))</f>
        <v>5.3699999999999992</v>
      </c>
      <c r="M184" s="12">
        <f t="shared" si="6"/>
        <v>32.22</v>
      </c>
      <c r="N184" s="10" t="str">
        <f t="shared" si="7"/>
        <v>Robusta</v>
      </c>
      <c r="O184" s="10" t="str">
        <f t="shared" si="8"/>
        <v>Dark</v>
      </c>
      <c r="P184" s="10" t="str">
        <f>_xlfn.XLOOKUP(Tableau1[[#This Row],[Customer ID]],customers!A$2:A$1001,customers!I$2:I$1001)</f>
        <v>No</v>
      </c>
    </row>
    <row r="185" spans="1:16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9" t="str">
        <f>_xlfn.XLOOKUP(orders!C185,customers!$A$2:$A$1001,customers!$B$2:$B$1001)</f>
        <v>Tory Walas</v>
      </c>
      <c r="G185" s="9" t="str">
        <f>IF(_xlfn.XLOOKUP(orders!C185,customers!$A$2:$A$1001,customers!$C$2:$C$1001,,,)=0,"",_xlfn.XLOOKUP(orders!C185,customers!$A$2:$A$1001,customers!$C$2:$C$1001,,,))</f>
        <v>twalas53@google.ca</v>
      </c>
      <c r="H185" s="9" t="str">
        <f>_xlfn.XLOOKUP(C185,customers!$A$2:$A$1001,customers!$G$2:$G$1001,"")</f>
        <v>United States</v>
      </c>
      <c r="I185" s="10" t="str">
        <f>INDEX(products!$A$2:$G$49,MATCH(orders!$D185,products!$A$2:$A$49,0),MATCH(orders!I$1,products!$A$1:$G$1,0))</f>
        <v>Exc</v>
      </c>
      <c r="J185" s="10" t="str">
        <f>INDEX(products!$A$2:$G$49,MATCH(orders!$D185,products!$A$2:$A$49,0),MATCH(orders!J$1,products!$A$1:$G$1,0))</f>
        <v>M</v>
      </c>
      <c r="K185" s="11">
        <f>INDEX(products!$A$2:$G$49,MATCH(orders!$D185,products!$A$2:$A$49,0),MATCH(orders!K$1,products!$A$1:$G$1,0))</f>
        <v>0.2</v>
      </c>
      <c r="L185" s="12">
        <f>INDEX(products!$A$2:$G$49,MATCH(orders!$D185,products!$A$2:$A$49,0),MATCH(orders!L$1,products!$A$1:$G$1,0))</f>
        <v>4.125</v>
      </c>
      <c r="M185" s="12">
        <f t="shared" si="6"/>
        <v>8.25</v>
      </c>
      <c r="N185" s="10" t="str">
        <f t="shared" si="7"/>
        <v>Excelsa</v>
      </c>
      <c r="O185" s="10" t="str">
        <f t="shared" si="8"/>
        <v>Medium</v>
      </c>
      <c r="P185" s="10" t="str">
        <f>_xlfn.XLOOKUP(Tableau1[[#This Row],[Customer ID]],customers!A$2:A$1001,customers!I$2:I$1001)</f>
        <v>No</v>
      </c>
    </row>
    <row r="186" spans="1:16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9" t="str">
        <f>_xlfn.XLOOKUP(orders!C186,customers!$A$2:$A$1001,customers!$B$2:$B$1001)</f>
        <v>Isa Blazewicz</v>
      </c>
      <c r="G186" s="9" t="str">
        <f>IF(_xlfn.XLOOKUP(orders!C186,customers!$A$2:$A$1001,customers!$C$2:$C$1001,,,)=0,"",_xlfn.XLOOKUP(orders!C186,customers!$A$2:$A$1001,customers!$C$2:$C$1001,,,))</f>
        <v>iblazewicz54@thetimes.co.uk</v>
      </c>
      <c r="H186" s="9" t="str">
        <f>_xlfn.XLOOKUP(C186,customers!$A$2:$A$1001,customers!$G$2:$G$1001,"")</f>
        <v>United States</v>
      </c>
      <c r="I186" s="10" t="str">
        <f>INDEX(products!$A$2:$G$49,MATCH(orders!$D186,products!$A$2:$A$49,0),MATCH(orders!I$1,products!$A$1:$G$1,0))</f>
        <v>Ara</v>
      </c>
      <c r="J186" s="10" t="str">
        <f>INDEX(products!$A$2:$G$49,MATCH(orders!$D186,products!$A$2:$A$49,0),MATCH(orders!J$1,products!$A$1:$G$1,0))</f>
        <v>L</v>
      </c>
      <c r="K186" s="11">
        <f>INDEX(products!$A$2:$G$49,MATCH(orders!$D186,products!$A$2:$A$49,0),MATCH(orders!K$1,products!$A$1:$G$1,0))</f>
        <v>0.5</v>
      </c>
      <c r="L186" s="12">
        <f>INDEX(products!$A$2:$G$49,MATCH(orders!$D186,products!$A$2:$A$49,0),MATCH(orders!L$1,products!$A$1:$G$1,0))</f>
        <v>7.77</v>
      </c>
      <c r="M186" s="12">
        <f t="shared" si="6"/>
        <v>31.08</v>
      </c>
      <c r="N186" s="10" t="str">
        <f t="shared" si="7"/>
        <v>Arabica</v>
      </c>
      <c r="O186" s="10" t="str">
        <f t="shared" si="8"/>
        <v>Light</v>
      </c>
      <c r="P186" s="10" t="str">
        <f>_xlfn.XLOOKUP(Tableau1[[#This Row],[Customer ID]],customers!A$2:A$1001,customers!I$2:I$1001)</f>
        <v>No</v>
      </c>
    </row>
    <row r="187" spans="1:16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9" t="str">
        <f>_xlfn.XLOOKUP(orders!C187,customers!$A$2:$A$1001,customers!$B$2:$B$1001)</f>
        <v>Angie Rizzetti</v>
      </c>
      <c r="G187" s="9" t="str">
        <f>IF(_xlfn.XLOOKUP(orders!C187,customers!$A$2:$A$1001,customers!$C$2:$C$1001,,,)=0,"",_xlfn.XLOOKUP(orders!C187,customers!$A$2:$A$1001,customers!$C$2:$C$1001,,,))</f>
        <v>arizzetti55@naver.com</v>
      </c>
      <c r="H187" s="9" t="str">
        <f>_xlfn.XLOOKUP(C187,customers!$A$2:$A$1001,customers!$G$2:$G$1001,"")</f>
        <v>United States</v>
      </c>
      <c r="I187" s="10" t="str">
        <f>INDEX(products!$A$2:$G$49,MATCH(orders!$D187,products!$A$2:$A$49,0),MATCH(orders!I$1,products!$A$1:$G$1,0))</f>
        <v>Exc</v>
      </c>
      <c r="J187" s="10" t="str">
        <f>INDEX(products!$A$2:$G$49,MATCH(orders!$D187,products!$A$2:$A$49,0),MATCH(orders!J$1,products!$A$1:$G$1,0))</f>
        <v>D</v>
      </c>
      <c r="K187" s="11">
        <f>INDEX(products!$A$2:$G$49,MATCH(orders!$D187,products!$A$2:$A$49,0),MATCH(orders!K$1,products!$A$1:$G$1,0))</f>
        <v>0.5</v>
      </c>
      <c r="L187" s="12">
        <f>INDEX(products!$A$2:$G$49,MATCH(orders!$D187,products!$A$2:$A$49,0),MATCH(orders!L$1,products!$A$1:$G$1,0))</f>
        <v>7.29</v>
      </c>
      <c r="M187" s="12">
        <f t="shared" si="6"/>
        <v>36.450000000000003</v>
      </c>
      <c r="N187" s="10" t="str">
        <f t="shared" si="7"/>
        <v>Excelsa</v>
      </c>
      <c r="O187" s="10" t="str">
        <f t="shared" si="8"/>
        <v>Dark</v>
      </c>
      <c r="P187" s="10" t="str">
        <f>_xlfn.XLOOKUP(Tableau1[[#This Row],[Customer ID]],customers!A$2:A$1001,customers!I$2:I$1001)</f>
        <v>Yes</v>
      </c>
    </row>
    <row r="188" spans="1:16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9" t="str">
        <f>_xlfn.XLOOKUP(orders!C188,customers!$A$2:$A$1001,customers!$B$2:$B$1001)</f>
        <v>Mord Meriet</v>
      </c>
      <c r="G188" s="9" t="str">
        <f>IF(_xlfn.XLOOKUP(orders!C188,customers!$A$2:$A$1001,customers!$C$2:$C$1001,,,)=0,"",_xlfn.XLOOKUP(orders!C188,customers!$A$2:$A$1001,customers!$C$2:$C$1001,,,))</f>
        <v>mmeriet56@noaa.gov</v>
      </c>
      <c r="H188" s="9" t="str">
        <f>_xlfn.XLOOKUP(C188,customers!$A$2:$A$1001,customers!$G$2:$G$1001,"")</f>
        <v>United States</v>
      </c>
      <c r="I188" s="10" t="str">
        <f>INDEX(products!$A$2:$G$49,MATCH(orders!$D188,products!$A$2:$A$49,0),MATCH(orders!I$1,products!$A$1:$G$1,0))</f>
        <v>Rob</v>
      </c>
      <c r="J188" s="10" t="str">
        <f>INDEX(products!$A$2:$G$49,MATCH(orders!$D188,products!$A$2:$A$49,0),MATCH(orders!J$1,products!$A$1:$G$1,0))</f>
        <v>M</v>
      </c>
      <c r="K188" s="11">
        <f>INDEX(products!$A$2:$G$49,MATCH(orders!$D188,products!$A$2:$A$49,0),MATCH(orders!K$1,products!$A$1:$G$1,0))</f>
        <v>2.5</v>
      </c>
      <c r="L188" s="12">
        <f>INDEX(products!$A$2:$G$49,MATCH(orders!$D188,products!$A$2:$A$49,0),MATCH(orders!L$1,products!$A$1:$G$1,0))</f>
        <v>22.884999999999998</v>
      </c>
      <c r="M188" s="12">
        <f t="shared" si="6"/>
        <v>68.655000000000001</v>
      </c>
      <c r="N188" s="10" t="str">
        <f t="shared" si="7"/>
        <v>Robusta</v>
      </c>
      <c r="O188" s="10" t="str">
        <f t="shared" si="8"/>
        <v>Medium</v>
      </c>
      <c r="P188" s="10" t="str">
        <f>_xlfn.XLOOKUP(Tableau1[[#This Row],[Customer ID]],customers!A$2:A$1001,customers!I$2:I$1001)</f>
        <v>No</v>
      </c>
    </row>
    <row r="189" spans="1:16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9" t="str">
        <f>_xlfn.XLOOKUP(orders!C189,customers!$A$2:$A$1001,customers!$B$2:$B$1001)</f>
        <v>Lawrence Pratt</v>
      </c>
      <c r="G189" s="9" t="str">
        <f>IF(_xlfn.XLOOKUP(orders!C189,customers!$A$2:$A$1001,customers!$C$2:$C$1001,,,)=0,"",_xlfn.XLOOKUP(orders!C189,customers!$A$2:$A$1001,customers!$C$2:$C$1001,,,))</f>
        <v>lpratt57@netvibes.com</v>
      </c>
      <c r="H189" s="9" t="str">
        <f>_xlfn.XLOOKUP(C189,customers!$A$2:$A$1001,customers!$G$2:$G$1001,"")</f>
        <v>United States</v>
      </c>
      <c r="I189" s="10" t="str">
        <f>INDEX(products!$A$2:$G$49,MATCH(orders!$D189,products!$A$2:$A$49,0),MATCH(orders!I$1,products!$A$1:$G$1,0))</f>
        <v>Lib</v>
      </c>
      <c r="J189" s="10" t="str">
        <f>INDEX(products!$A$2:$G$49,MATCH(orders!$D189,products!$A$2:$A$49,0),MATCH(orders!J$1,products!$A$1:$G$1,0))</f>
        <v>M</v>
      </c>
      <c r="K189" s="11">
        <f>INDEX(products!$A$2:$G$49,MATCH(orders!$D189,products!$A$2:$A$49,0),MATCH(orders!K$1,products!$A$1:$G$1,0))</f>
        <v>0.5</v>
      </c>
      <c r="L189" s="12">
        <f>INDEX(products!$A$2:$G$49,MATCH(orders!$D189,products!$A$2:$A$49,0),MATCH(orders!L$1,products!$A$1:$G$1,0))</f>
        <v>8.73</v>
      </c>
      <c r="M189" s="12">
        <f t="shared" si="6"/>
        <v>43.650000000000006</v>
      </c>
      <c r="N189" s="10" t="str">
        <f t="shared" si="7"/>
        <v>Liberica</v>
      </c>
      <c r="O189" s="10" t="str">
        <f t="shared" si="8"/>
        <v>Medium</v>
      </c>
      <c r="P189" s="10" t="str">
        <f>_xlfn.XLOOKUP(Tableau1[[#This Row],[Customer ID]],customers!A$2:A$1001,customers!I$2:I$1001)</f>
        <v>Yes</v>
      </c>
    </row>
    <row r="190" spans="1:16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9" t="str">
        <f>_xlfn.XLOOKUP(orders!C190,customers!$A$2:$A$1001,customers!$B$2:$B$1001)</f>
        <v>Astrix Kitchingham</v>
      </c>
      <c r="G190" s="9" t="str">
        <f>IF(_xlfn.XLOOKUP(orders!C190,customers!$A$2:$A$1001,customers!$C$2:$C$1001,,,)=0,"",_xlfn.XLOOKUP(orders!C190,customers!$A$2:$A$1001,customers!$C$2:$C$1001,,,))</f>
        <v>akitchingham58@com.com</v>
      </c>
      <c r="H190" s="9" t="str">
        <f>_xlfn.XLOOKUP(C190,customers!$A$2:$A$1001,customers!$G$2:$G$1001,"")</f>
        <v>United States</v>
      </c>
      <c r="I190" s="10" t="str">
        <f>INDEX(products!$A$2:$G$49,MATCH(orders!$D190,products!$A$2:$A$49,0),MATCH(orders!I$1,products!$A$1:$G$1,0))</f>
        <v>Exc</v>
      </c>
      <c r="J190" s="10" t="str">
        <f>INDEX(products!$A$2:$G$49,MATCH(orders!$D190,products!$A$2:$A$49,0),MATCH(orders!J$1,products!$A$1:$G$1,0))</f>
        <v>L</v>
      </c>
      <c r="K190" s="11">
        <f>INDEX(products!$A$2:$G$49,MATCH(orders!$D190,products!$A$2:$A$49,0),MATCH(orders!K$1,products!$A$1:$G$1,0))</f>
        <v>0.2</v>
      </c>
      <c r="L190" s="12">
        <f>INDEX(products!$A$2:$G$49,MATCH(orders!$D190,products!$A$2:$A$49,0),MATCH(orders!L$1,products!$A$1:$G$1,0))</f>
        <v>4.4550000000000001</v>
      </c>
      <c r="M190" s="12">
        <f t="shared" si="6"/>
        <v>4.4550000000000001</v>
      </c>
      <c r="N190" s="10" t="str">
        <f t="shared" si="7"/>
        <v>Excelsa</v>
      </c>
      <c r="O190" s="10" t="str">
        <f t="shared" si="8"/>
        <v>Light</v>
      </c>
      <c r="P190" s="10" t="str">
        <f>_xlfn.XLOOKUP(Tableau1[[#This Row],[Customer ID]],customers!A$2:A$1001,customers!I$2:I$1001)</f>
        <v>Yes</v>
      </c>
    </row>
    <row r="191" spans="1:16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9" t="str">
        <f>_xlfn.XLOOKUP(orders!C191,customers!$A$2:$A$1001,customers!$B$2:$B$1001)</f>
        <v>Burnard Bartholin</v>
      </c>
      <c r="G191" s="9" t="str">
        <f>IF(_xlfn.XLOOKUP(orders!C191,customers!$A$2:$A$1001,customers!$C$2:$C$1001,,,)=0,"",_xlfn.XLOOKUP(orders!C191,customers!$A$2:$A$1001,customers!$C$2:$C$1001,,,))</f>
        <v>bbartholin59@xinhuanet.com</v>
      </c>
      <c r="H191" s="9" t="str">
        <f>_xlfn.XLOOKUP(C191,customers!$A$2:$A$1001,customers!$G$2:$G$1001,"")</f>
        <v>United States</v>
      </c>
      <c r="I191" s="10" t="str">
        <f>INDEX(products!$A$2:$G$49,MATCH(orders!$D191,products!$A$2:$A$49,0),MATCH(orders!I$1,products!$A$1:$G$1,0))</f>
        <v>Lib</v>
      </c>
      <c r="J191" s="10" t="str">
        <f>INDEX(products!$A$2:$G$49,MATCH(orders!$D191,products!$A$2:$A$49,0),MATCH(orders!J$1,products!$A$1:$G$1,0))</f>
        <v>M</v>
      </c>
      <c r="K191" s="11">
        <f>INDEX(products!$A$2:$G$49,MATCH(orders!$D191,products!$A$2:$A$49,0),MATCH(orders!K$1,products!$A$1:$G$1,0))</f>
        <v>1</v>
      </c>
      <c r="L191" s="12">
        <f>INDEX(products!$A$2:$G$49,MATCH(orders!$D191,products!$A$2:$A$49,0),MATCH(orders!L$1,products!$A$1:$G$1,0))</f>
        <v>14.55</v>
      </c>
      <c r="M191" s="12">
        <f t="shared" si="6"/>
        <v>43.650000000000006</v>
      </c>
      <c r="N191" s="10" t="str">
        <f t="shared" si="7"/>
        <v>Liberica</v>
      </c>
      <c r="O191" s="10" t="str">
        <f t="shared" si="8"/>
        <v>Medium</v>
      </c>
      <c r="P191" s="10" t="str">
        <f>_xlfn.XLOOKUP(Tableau1[[#This Row],[Customer ID]],customers!A$2:A$1001,customers!I$2:I$1001)</f>
        <v>Yes</v>
      </c>
    </row>
    <row r="192" spans="1:16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9" t="str">
        <f>_xlfn.XLOOKUP(orders!C192,customers!$A$2:$A$1001,customers!$B$2:$B$1001)</f>
        <v>Madelene Prinn</v>
      </c>
      <c r="G192" s="9" t="str">
        <f>IF(_xlfn.XLOOKUP(orders!C192,customers!$A$2:$A$1001,customers!$C$2:$C$1001,,,)=0,"",_xlfn.XLOOKUP(orders!C192,customers!$A$2:$A$1001,customers!$C$2:$C$1001,,,))</f>
        <v>mprinn5a@usa.gov</v>
      </c>
      <c r="H192" s="9" t="str">
        <f>_xlfn.XLOOKUP(C192,customers!$A$2:$A$1001,customers!$G$2:$G$1001,"")</f>
        <v>United States</v>
      </c>
      <c r="I192" s="10" t="str">
        <f>INDEX(products!$A$2:$G$49,MATCH(orders!$D192,products!$A$2:$A$49,0),MATCH(orders!I$1,products!$A$1:$G$1,0))</f>
        <v>Lib</v>
      </c>
      <c r="J192" s="10" t="str">
        <f>INDEX(products!$A$2:$G$49,MATCH(orders!$D192,products!$A$2:$A$49,0),MATCH(orders!J$1,products!$A$1:$G$1,0))</f>
        <v>M</v>
      </c>
      <c r="K192" s="11">
        <f>INDEX(products!$A$2:$G$49,MATCH(orders!$D192,products!$A$2:$A$49,0),MATCH(orders!K$1,products!$A$1:$G$1,0))</f>
        <v>2.5</v>
      </c>
      <c r="L192" s="12">
        <f>INDEX(products!$A$2:$G$49,MATCH(orders!$D192,products!$A$2:$A$49,0),MATCH(orders!L$1,products!$A$1:$G$1,0))</f>
        <v>33.464999999999996</v>
      </c>
      <c r="M192" s="12">
        <f t="shared" si="6"/>
        <v>33.464999999999996</v>
      </c>
      <c r="N192" s="10" t="str">
        <f t="shared" si="7"/>
        <v>Liberica</v>
      </c>
      <c r="O192" s="10" t="str">
        <f t="shared" si="8"/>
        <v>Medium</v>
      </c>
      <c r="P192" s="10" t="str">
        <f>_xlfn.XLOOKUP(Tableau1[[#This Row],[Customer ID]],customers!A$2:A$1001,customers!I$2:I$1001)</f>
        <v>Yes</v>
      </c>
    </row>
    <row r="193" spans="1:16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9" t="str">
        <f>_xlfn.XLOOKUP(orders!C193,customers!$A$2:$A$1001,customers!$B$2:$B$1001)</f>
        <v>Alisun Baudino</v>
      </c>
      <c r="G193" s="9" t="str">
        <f>IF(_xlfn.XLOOKUP(orders!C193,customers!$A$2:$A$1001,customers!$C$2:$C$1001,,,)=0,"",_xlfn.XLOOKUP(orders!C193,customers!$A$2:$A$1001,customers!$C$2:$C$1001,,,))</f>
        <v>abaudino5b@netvibes.com</v>
      </c>
      <c r="H193" s="9" t="str">
        <f>_xlfn.XLOOKUP(C193,customers!$A$2:$A$1001,customers!$G$2:$G$1001,"")</f>
        <v>United States</v>
      </c>
      <c r="I193" s="10" t="str">
        <f>INDEX(products!$A$2:$G$49,MATCH(orders!$D193,products!$A$2:$A$49,0),MATCH(orders!I$1,products!$A$1:$G$1,0))</f>
        <v>Lib</v>
      </c>
      <c r="J193" s="10" t="str">
        <f>INDEX(products!$A$2:$G$49,MATCH(orders!$D193,products!$A$2:$A$49,0),MATCH(orders!J$1,products!$A$1:$G$1,0))</f>
        <v>D</v>
      </c>
      <c r="K193" s="11">
        <f>INDEX(products!$A$2:$G$49,MATCH(orders!$D193,products!$A$2:$A$49,0),MATCH(orders!K$1,products!$A$1:$G$1,0))</f>
        <v>0.2</v>
      </c>
      <c r="L193" s="12">
        <f>INDEX(products!$A$2:$G$49,MATCH(orders!$D193,products!$A$2:$A$49,0),MATCH(orders!L$1,products!$A$1:$G$1,0))</f>
        <v>3.8849999999999998</v>
      </c>
      <c r="M193" s="12">
        <f t="shared" si="6"/>
        <v>19.424999999999997</v>
      </c>
      <c r="N193" s="10" t="str">
        <f t="shared" si="7"/>
        <v>Liberica</v>
      </c>
      <c r="O193" s="10" t="str">
        <f t="shared" si="8"/>
        <v>Dark</v>
      </c>
      <c r="P193" s="10" t="str">
        <f>_xlfn.XLOOKUP(Tableau1[[#This Row],[Customer ID]],customers!A$2:A$1001,customers!I$2:I$1001)</f>
        <v>Yes</v>
      </c>
    </row>
    <row r="194" spans="1:16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9" t="str">
        <f>_xlfn.XLOOKUP(orders!C194,customers!$A$2:$A$1001,customers!$B$2:$B$1001)</f>
        <v>Philipa Petrushanko</v>
      </c>
      <c r="G194" s="9" t="str">
        <f>IF(_xlfn.XLOOKUP(orders!C194,customers!$A$2:$A$1001,customers!$C$2:$C$1001,,,)=0,"",_xlfn.XLOOKUP(orders!C194,customers!$A$2:$A$1001,customers!$C$2:$C$1001,,,))</f>
        <v>ppetrushanko5c@blinklist.com</v>
      </c>
      <c r="H194" s="9" t="str">
        <f>_xlfn.XLOOKUP(C194,customers!$A$2:$A$1001,customers!$G$2:$G$1001,"")</f>
        <v>Ireland</v>
      </c>
      <c r="I194" s="10" t="str">
        <f>INDEX(products!$A$2:$G$49,MATCH(orders!$D194,products!$A$2:$A$49,0),MATCH(orders!I$1,products!$A$1:$G$1,0))</f>
        <v>Exc</v>
      </c>
      <c r="J194" s="10" t="str">
        <f>INDEX(products!$A$2:$G$49,MATCH(orders!$D194,products!$A$2:$A$49,0),MATCH(orders!J$1,products!$A$1:$G$1,0))</f>
        <v>D</v>
      </c>
      <c r="K194" s="11">
        <f>INDEX(products!$A$2:$G$49,MATCH(orders!$D194,products!$A$2:$A$49,0),MATCH(orders!K$1,products!$A$1:$G$1,0))</f>
        <v>1</v>
      </c>
      <c r="L194" s="12">
        <f>INDEX(products!$A$2:$G$49,MATCH(orders!$D194,products!$A$2:$A$49,0),MATCH(orders!L$1,products!$A$1:$G$1,0))</f>
        <v>12.15</v>
      </c>
      <c r="M194" s="12">
        <f t="shared" si="6"/>
        <v>72.900000000000006</v>
      </c>
      <c r="N194" s="10" t="str">
        <f t="shared" si="7"/>
        <v>Excelsa</v>
      </c>
      <c r="O194" s="10" t="str">
        <f t="shared" si="8"/>
        <v>Dark</v>
      </c>
      <c r="P194" s="10" t="str">
        <f>_xlfn.XLOOKUP(Tableau1[[#This Row],[Customer ID]],customers!A$2:A$1001,customers!I$2:I$1001)</f>
        <v>Yes</v>
      </c>
    </row>
    <row r="195" spans="1:16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9" t="str">
        <f>_xlfn.XLOOKUP(orders!C195,customers!$A$2:$A$1001,customers!$B$2:$B$1001)</f>
        <v>Kimberli Mustchin</v>
      </c>
      <c r="G195" s="9" t="str">
        <f>IF(_xlfn.XLOOKUP(orders!C195,customers!$A$2:$A$1001,customers!$C$2:$C$1001,,,)=0,"",_xlfn.XLOOKUP(orders!C195,customers!$A$2:$A$1001,customers!$C$2:$C$1001,,,))</f>
        <v/>
      </c>
      <c r="H195" s="9" t="str">
        <f>_xlfn.XLOOKUP(C195,customers!$A$2:$A$1001,customers!$G$2:$G$1001,"")</f>
        <v>United States</v>
      </c>
      <c r="I195" s="10" t="str">
        <f>INDEX(products!$A$2:$G$49,MATCH(orders!$D195,products!$A$2:$A$49,0),MATCH(orders!I$1,products!$A$1:$G$1,0))</f>
        <v>Exc</v>
      </c>
      <c r="J195" s="10" t="str">
        <f>INDEX(products!$A$2:$G$49,MATCH(orders!$D195,products!$A$2:$A$49,0),MATCH(orders!J$1,products!$A$1:$G$1,0))</f>
        <v>L</v>
      </c>
      <c r="K195" s="11">
        <f>INDEX(products!$A$2:$G$49,MATCH(orders!$D195,products!$A$2:$A$49,0),MATCH(orders!K$1,products!$A$1:$G$1,0))</f>
        <v>1</v>
      </c>
      <c r="L195" s="12">
        <f>INDEX(products!$A$2:$G$49,MATCH(orders!$D195,products!$A$2:$A$49,0),MATCH(orders!L$1,products!$A$1:$G$1,0))</f>
        <v>14.85</v>
      </c>
      <c r="M195" s="12">
        <f t="shared" ref="M195:M258" si="9">L195*E195</f>
        <v>44.55</v>
      </c>
      <c r="N195" s="10" t="str">
        <f t="shared" ref="N195:N258" si="10">IF(I195="Rob","Robusta",IF(I195="Exc","Excelsa",IF(I195="Ara","Arabica",IF(I195="Lib","Liberica"))))</f>
        <v>Excelsa</v>
      </c>
      <c r="O195" s="10" t="str">
        <f t="shared" ref="O195:O258" si="11">IF(J195="M","Medium",IF(J195="L","Light",IF(J195="D","Dark")))</f>
        <v>Light</v>
      </c>
      <c r="P195" s="10" t="str">
        <f>_xlfn.XLOOKUP(Tableau1[[#This Row],[Customer ID]],customers!A$2:A$1001,customers!I$2:I$1001)</f>
        <v>No</v>
      </c>
    </row>
    <row r="196" spans="1:16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9" t="str">
        <f>_xlfn.XLOOKUP(orders!C196,customers!$A$2:$A$1001,customers!$B$2:$B$1001)</f>
        <v>Emlynne Laird</v>
      </c>
      <c r="G196" s="9" t="str">
        <f>IF(_xlfn.XLOOKUP(orders!C196,customers!$A$2:$A$1001,customers!$C$2:$C$1001,,,)=0,"",_xlfn.XLOOKUP(orders!C196,customers!$A$2:$A$1001,customers!$C$2:$C$1001,,,))</f>
        <v>elaird5e@bing.com</v>
      </c>
      <c r="H196" s="9" t="str">
        <f>_xlfn.XLOOKUP(C196,customers!$A$2:$A$1001,customers!$G$2:$G$1001,"")</f>
        <v>United States</v>
      </c>
      <c r="I196" s="10" t="str">
        <f>INDEX(products!$A$2:$G$49,MATCH(orders!$D196,products!$A$2:$A$49,0),MATCH(orders!I$1,products!$A$1:$G$1,0))</f>
        <v>Exc</v>
      </c>
      <c r="J196" s="10" t="str">
        <f>INDEX(products!$A$2:$G$49,MATCH(orders!$D196,products!$A$2:$A$49,0),MATCH(orders!J$1,products!$A$1:$G$1,0))</f>
        <v>D</v>
      </c>
      <c r="K196" s="11">
        <f>INDEX(products!$A$2:$G$49,MATCH(orders!$D196,products!$A$2:$A$49,0),MATCH(orders!K$1,products!$A$1:$G$1,0))</f>
        <v>0.5</v>
      </c>
      <c r="L196" s="12">
        <f>INDEX(products!$A$2:$G$49,MATCH(orders!$D196,products!$A$2:$A$49,0),MATCH(orders!L$1,products!$A$1:$G$1,0))</f>
        <v>7.29</v>
      </c>
      <c r="M196" s="12">
        <f t="shared" si="9"/>
        <v>36.450000000000003</v>
      </c>
      <c r="N196" s="10" t="str">
        <f t="shared" si="10"/>
        <v>Excelsa</v>
      </c>
      <c r="O196" s="10" t="str">
        <f t="shared" si="11"/>
        <v>Dark</v>
      </c>
      <c r="P196" s="10" t="str">
        <f>_xlfn.XLOOKUP(Tableau1[[#This Row],[Customer ID]],customers!A$2:A$1001,customers!I$2:I$1001)</f>
        <v>No</v>
      </c>
    </row>
    <row r="197" spans="1:16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9" t="str">
        <f>_xlfn.XLOOKUP(orders!C197,customers!$A$2:$A$1001,customers!$B$2:$B$1001)</f>
        <v>Marlena Howsden</v>
      </c>
      <c r="G197" s="9" t="str">
        <f>IF(_xlfn.XLOOKUP(orders!C197,customers!$A$2:$A$1001,customers!$C$2:$C$1001,,,)=0,"",_xlfn.XLOOKUP(orders!C197,customers!$A$2:$A$1001,customers!$C$2:$C$1001,,,))</f>
        <v>mhowsden5f@infoseek.co.jp</v>
      </c>
      <c r="H197" s="9" t="str">
        <f>_xlfn.XLOOKUP(C197,customers!$A$2:$A$1001,customers!$G$2:$G$1001,"")</f>
        <v>United States</v>
      </c>
      <c r="I197" s="10" t="str">
        <f>INDEX(products!$A$2:$G$49,MATCH(orders!$D197,products!$A$2:$A$49,0),MATCH(orders!I$1,products!$A$1:$G$1,0))</f>
        <v>Ara</v>
      </c>
      <c r="J197" s="10" t="str">
        <f>INDEX(products!$A$2:$G$49,MATCH(orders!$D197,products!$A$2:$A$49,0),MATCH(orders!J$1,products!$A$1:$G$1,0))</f>
        <v>L</v>
      </c>
      <c r="K197" s="11">
        <f>INDEX(products!$A$2:$G$49,MATCH(orders!$D197,products!$A$2:$A$49,0),MATCH(orders!K$1,products!$A$1:$G$1,0))</f>
        <v>1</v>
      </c>
      <c r="L197" s="12">
        <f>INDEX(products!$A$2:$G$49,MATCH(orders!$D197,products!$A$2:$A$49,0),MATCH(orders!L$1,products!$A$1:$G$1,0))</f>
        <v>12.95</v>
      </c>
      <c r="M197" s="12">
        <f t="shared" si="9"/>
        <v>38.849999999999994</v>
      </c>
      <c r="N197" s="10" t="str">
        <f t="shared" si="10"/>
        <v>Arabica</v>
      </c>
      <c r="O197" s="10" t="str">
        <f t="shared" si="11"/>
        <v>Light</v>
      </c>
      <c r="P197" s="10" t="str">
        <f>_xlfn.XLOOKUP(Tableau1[[#This Row],[Customer ID]],customers!A$2:A$1001,customers!I$2:I$1001)</f>
        <v>No</v>
      </c>
    </row>
    <row r="198" spans="1:16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9" t="str">
        <f>_xlfn.XLOOKUP(orders!C198,customers!$A$2:$A$1001,customers!$B$2:$B$1001)</f>
        <v>Nealson Cuttler</v>
      </c>
      <c r="G198" s="9" t="str">
        <f>IF(_xlfn.XLOOKUP(orders!C198,customers!$A$2:$A$1001,customers!$C$2:$C$1001,,,)=0,"",_xlfn.XLOOKUP(orders!C198,customers!$A$2:$A$1001,customers!$C$2:$C$1001,,,))</f>
        <v>ncuttler5g@parallels.com</v>
      </c>
      <c r="H198" s="9" t="str">
        <f>_xlfn.XLOOKUP(C198,customers!$A$2:$A$1001,customers!$G$2:$G$1001,"")</f>
        <v>United States</v>
      </c>
      <c r="I198" s="10" t="str">
        <f>INDEX(products!$A$2:$G$49,MATCH(orders!$D198,products!$A$2:$A$49,0),MATCH(orders!I$1,products!$A$1:$G$1,0))</f>
        <v>Exc</v>
      </c>
      <c r="J198" s="10" t="str">
        <f>INDEX(products!$A$2:$G$49,MATCH(orders!$D198,products!$A$2:$A$49,0),MATCH(orders!J$1,products!$A$1:$G$1,0))</f>
        <v>L</v>
      </c>
      <c r="K198" s="11">
        <f>INDEX(products!$A$2:$G$49,MATCH(orders!$D198,products!$A$2:$A$49,0),MATCH(orders!K$1,products!$A$1:$G$1,0))</f>
        <v>0.5</v>
      </c>
      <c r="L198" s="12">
        <f>INDEX(products!$A$2:$G$49,MATCH(orders!$D198,products!$A$2:$A$49,0),MATCH(orders!L$1,products!$A$1:$G$1,0))</f>
        <v>8.91</v>
      </c>
      <c r="M198" s="12">
        <f t="shared" si="9"/>
        <v>53.46</v>
      </c>
      <c r="N198" s="10" t="str">
        <f t="shared" si="10"/>
        <v>Excelsa</v>
      </c>
      <c r="O198" s="10" t="str">
        <f t="shared" si="11"/>
        <v>Light</v>
      </c>
      <c r="P198" s="10" t="str">
        <f>_xlfn.XLOOKUP(Tableau1[[#This Row],[Customer ID]],customers!A$2:A$1001,customers!I$2:I$1001)</f>
        <v>No</v>
      </c>
    </row>
    <row r="199" spans="1:16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9" t="str">
        <f>_xlfn.XLOOKUP(orders!C199,customers!$A$2:$A$1001,customers!$B$2:$B$1001)</f>
        <v>Nealson Cuttler</v>
      </c>
      <c r="G199" s="9" t="str">
        <f>IF(_xlfn.XLOOKUP(orders!C199,customers!$A$2:$A$1001,customers!$C$2:$C$1001,,,)=0,"",_xlfn.XLOOKUP(orders!C199,customers!$A$2:$A$1001,customers!$C$2:$C$1001,,,))</f>
        <v>ncuttler5g@parallels.com</v>
      </c>
      <c r="H199" s="9" t="str">
        <f>_xlfn.XLOOKUP(C199,customers!$A$2:$A$1001,customers!$G$2:$G$1001,"")</f>
        <v>United States</v>
      </c>
      <c r="I199" s="10" t="str">
        <f>INDEX(products!$A$2:$G$49,MATCH(orders!$D199,products!$A$2:$A$49,0),MATCH(orders!I$1,products!$A$1:$G$1,0))</f>
        <v>Lib</v>
      </c>
      <c r="J199" s="10" t="str">
        <f>INDEX(products!$A$2:$G$49,MATCH(orders!$D199,products!$A$2:$A$49,0),MATCH(orders!J$1,products!$A$1:$G$1,0))</f>
        <v>D</v>
      </c>
      <c r="K199" s="11">
        <f>INDEX(products!$A$2:$G$49,MATCH(orders!$D199,products!$A$2:$A$49,0),MATCH(orders!K$1,products!$A$1:$G$1,0))</f>
        <v>2.5</v>
      </c>
      <c r="L199" s="12">
        <f>INDEX(products!$A$2:$G$49,MATCH(orders!$D199,products!$A$2:$A$49,0),MATCH(orders!L$1,products!$A$1:$G$1,0))</f>
        <v>29.784999999999997</v>
      </c>
      <c r="M199" s="12">
        <f t="shared" si="9"/>
        <v>59.569999999999993</v>
      </c>
      <c r="N199" s="10" t="str">
        <f t="shared" si="10"/>
        <v>Liberica</v>
      </c>
      <c r="O199" s="10" t="str">
        <f t="shared" si="11"/>
        <v>Dark</v>
      </c>
      <c r="P199" s="10" t="str">
        <f>_xlfn.XLOOKUP(Tableau1[[#This Row],[Customer ID]],customers!A$2:A$1001,customers!I$2:I$1001)</f>
        <v>No</v>
      </c>
    </row>
    <row r="200" spans="1:16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9" t="str">
        <f>_xlfn.XLOOKUP(orders!C200,customers!$A$2:$A$1001,customers!$B$2:$B$1001)</f>
        <v>Nealson Cuttler</v>
      </c>
      <c r="G200" s="9" t="str">
        <f>IF(_xlfn.XLOOKUP(orders!C200,customers!$A$2:$A$1001,customers!$C$2:$C$1001,,,)=0,"",_xlfn.XLOOKUP(orders!C200,customers!$A$2:$A$1001,customers!$C$2:$C$1001,,,))</f>
        <v>ncuttler5g@parallels.com</v>
      </c>
      <c r="H200" s="9" t="str">
        <f>_xlfn.XLOOKUP(C200,customers!$A$2:$A$1001,customers!$G$2:$G$1001,"")</f>
        <v>United States</v>
      </c>
      <c r="I200" s="10" t="str">
        <f>INDEX(products!$A$2:$G$49,MATCH(orders!$D200,products!$A$2:$A$49,0),MATCH(orders!I$1,products!$A$1:$G$1,0))</f>
        <v>Lib</v>
      </c>
      <c r="J200" s="10" t="str">
        <f>INDEX(products!$A$2:$G$49,MATCH(orders!$D200,products!$A$2:$A$49,0),MATCH(orders!J$1,products!$A$1:$G$1,0))</f>
        <v>D</v>
      </c>
      <c r="K200" s="11">
        <f>INDEX(products!$A$2:$G$49,MATCH(orders!$D200,products!$A$2:$A$49,0),MATCH(orders!K$1,products!$A$1:$G$1,0))</f>
        <v>2.5</v>
      </c>
      <c r="L200" s="12">
        <f>INDEX(products!$A$2:$G$49,MATCH(orders!$D200,products!$A$2:$A$49,0),MATCH(orders!L$1,products!$A$1:$G$1,0))</f>
        <v>29.784999999999997</v>
      </c>
      <c r="M200" s="12">
        <f t="shared" si="9"/>
        <v>89.35499999999999</v>
      </c>
      <c r="N200" s="10" t="str">
        <f t="shared" si="10"/>
        <v>Liberica</v>
      </c>
      <c r="O200" s="10" t="str">
        <f t="shared" si="11"/>
        <v>Dark</v>
      </c>
      <c r="P200" s="10" t="str">
        <f>_xlfn.XLOOKUP(Tableau1[[#This Row],[Customer ID]],customers!A$2:A$1001,customers!I$2:I$1001)</f>
        <v>No</v>
      </c>
    </row>
    <row r="201" spans="1:16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9" t="str">
        <f>_xlfn.XLOOKUP(orders!C201,customers!$A$2:$A$1001,customers!$B$2:$B$1001)</f>
        <v>Nealson Cuttler</v>
      </c>
      <c r="G201" s="9" t="str">
        <f>IF(_xlfn.XLOOKUP(orders!C201,customers!$A$2:$A$1001,customers!$C$2:$C$1001,,,)=0,"",_xlfn.XLOOKUP(orders!C201,customers!$A$2:$A$1001,customers!$C$2:$C$1001,,,))</f>
        <v>ncuttler5g@parallels.com</v>
      </c>
      <c r="H201" s="9" t="str">
        <f>_xlfn.XLOOKUP(C201,customers!$A$2:$A$1001,customers!$G$2:$G$1001,"")</f>
        <v>United States</v>
      </c>
      <c r="I201" s="10" t="str">
        <f>INDEX(products!$A$2:$G$49,MATCH(orders!$D201,products!$A$2:$A$49,0),MATCH(orders!I$1,products!$A$1:$G$1,0))</f>
        <v>Lib</v>
      </c>
      <c r="J201" s="10" t="str">
        <f>INDEX(products!$A$2:$G$49,MATCH(orders!$D201,products!$A$2:$A$49,0),MATCH(orders!J$1,products!$A$1:$G$1,0))</f>
        <v>L</v>
      </c>
      <c r="K201" s="11">
        <f>INDEX(products!$A$2:$G$49,MATCH(orders!$D201,products!$A$2:$A$49,0),MATCH(orders!K$1,products!$A$1:$G$1,0))</f>
        <v>0.5</v>
      </c>
      <c r="L201" s="12">
        <f>INDEX(products!$A$2:$G$49,MATCH(orders!$D201,products!$A$2:$A$49,0),MATCH(orders!L$1,products!$A$1:$G$1,0))</f>
        <v>9.51</v>
      </c>
      <c r="M201" s="12">
        <f t="shared" si="9"/>
        <v>38.04</v>
      </c>
      <c r="N201" s="10" t="str">
        <f t="shared" si="10"/>
        <v>Liberica</v>
      </c>
      <c r="O201" s="10" t="str">
        <f t="shared" si="11"/>
        <v>Light</v>
      </c>
      <c r="P201" s="10" t="str">
        <f>_xlfn.XLOOKUP(Tableau1[[#This Row],[Customer ID]],customers!A$2:A$1001,customers!I$2:I$1001)</f>
        <v>No</v>
      </c>
    </row>
    <row r="202" spans="1:16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9" t="str">
        <f>_xlfn.XLOOKUP(orders!C202,customers!$A$2:$A$1001,customers!$B$2:$B$1001)</f>
        <v>Nealson Cuttler</v>
      </c>
      <c r="G202" s="9" t="str">
        <f>IF(_xlfn.XLOOKUP(orders!C202,customers!$A$2:$A$1001,customers!$C$2:$C$1001,,,)=0,"",_xlfn.XLOOKUP(orders!C202,customers!$A$2:$A$1001,customers!$C$2:$C$1001,,,))</f>
        <v>ncuttler5g@parallels.com</v>
      </c>
      <c r="H202" s="9" t="str">
        <f>_xlfn.XLOOKUP(C202,customers!$A$2:$A$1001,customers!$G$2:$G$1001,"")</f>
        <v>United States</v>
      </c>
      <c r="I202" s="10" t="str">
        <f>INDEX(products!$A$2:$G$49,MATCH(orders!$D202,products!$A$2:$A$49,0),MATCH(orders!I$1,products!$A$1:$G$1,0))</f>
        <v>Exc</v>
      </c>
      <c r="J202" s="10" t="str">
        <f>INDEX(products!$A$2:$G$49,MATCH(orders!$D202,products!$A$2:$A$49,0),MATCH(orders!J$1,products!$A$1:$G$1,0))</f>
        <v>M</v>
      </c>
      <c r="K202" s="11">
        <f>INDEX(products!$A$2:$G$49,MATCH(orders!$D202,products!$A$2:$A$49,0),MATCH(orders!K$1,products!$A$1:$G$1,0))</f>
        <v>1</v>
      </c>
      <c r="L202" s="12">
        <f>INDEX(products!$A$2:$G$49,MATCH(orders!$D202,products!$A$2:$A$49,0),MATCH(orders!L$1,products!$A$1:$G$1,0))</f>
        <v>13.75</v>
      </c>
      <c r="M202" s="12">
        <f t="shared" si="9"/>
        <v>41.25</v>
      </c>
      <c r="N202" s="10" t="str">
        <f t="shared" si="10"/>
        <v>Excelsa</v>
      </c>
      <c r="O202" s="10" t="str">
        <f t="shared" si="11"/>
        <v>Medium</v>
      </c>
      <c r="P202" s="10" t="str">
        <f>_xlfn.XLOOKUP(Tableau1[[#This Row],[Customer ID]],customers!A$2:A$1001,customers!I$2:I$1001)</f>
        <v>No</v>
      </c>
    </row>
    <row r="203" spans="1:16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9" t="str">
        <f>_xlfn.XLOOKUP(orders!C203,customers!$A$2:$A$1001,customers!$B$2:$B$1001)</f>
        <v>Adriana Lazarus</v>
      </c>
      <c r="G203" s="9" t="str">
        <f>IF(_xlfn.XLOOKUP(orders!C203,customers!$A$2:$A$1001,customers!$C$2:$C$1001,,,)=0,"",_xlfn.XLOOKUP(orders!C203,customers!$A$2:$A$1001,customers!$C$2:$C$1001,,,))</f>
        <v/>
      </c>
      <c r="H203" s="9" t="str">
        <f>_xlfn.XLOOKUP(C203,customers!$A$2:$A$1001,customers!$G$2:$G$1001,"")</f>
        <v>United States</v>
      </c>
      <c r="I203" s="10" t="str">
        <f>INDEX(products!$A$2:$G$49,MATCH(orders!$D203,products!$A$2:$A$49,0),MATCH(orders!I$1,products!$A$1:$G$1,0))</f>
        <v>Lib</v>
      </c>
      <c r="J203" s="10" t="str">
        <f>INDEX(products!$A$2:$G$49,MATCH(orders!$D203,products!$A$2:$A$49,0),MATCH(orders!J$1,products!$A$1:$G$1,0))</f>
        <v>L</v>
      </c>
      <c r="K203" s="11">
        <f>INDEX(products!$A$2:$G$49,MATCH(orders!$D203,products!$A$2:$A$49,0),MATCH(orders!K$1,products!$A$1:$G$1,0))</f>
        <v>0.5</v>
      </c>
      <c r="L203" s="12">
        <f>INDEX(products!$A$2:$G$49,MATCH(orders!$D203,products!$A$2:$A$49,0),MATCH(orders!L$1,products!$A$1:$G$1,0))</f>
        <v>9.51</v>
      </c>
      <c r="M203" s="12">
        <f t="shared" si="9"/>
        <v>57.06</v>
      </c>
      <c r="N203" s="10" t="str">
        <f t="shared" si="10"/>
        <v>Liberica</v>
      </c>
      <c r="O203" s="10" t="str">
        <f t="shared" si="11"/>
        <v>Light</v>
      </c>
      <c r="P203" s="10" t="str">
        <f>_xlfn.XLOOKUP(Tableau1[[#This Row],[Customer ID]],customers!A$2:A$1001,customers!I$2:I$1001)</f>
        <v>No</v>
      </c>
    </row>
    <row r="204" spans="1:16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9" t="str">
        <f>_xlfn.XLOOKUP(orders!C204,customers!$A$2:$A$1001,customers!$B$2:$B$1001)</f>
        <v>Tallie felip</v>
      </c>
      <c r="G204" s="9" t="str">
        <f>IF(_xlfn.XLOOKUP(orders!C204,customers!$A$2:$A$1001,customers!$C$2:$C$1001,,,)=0,"",_xlfn.XLOOKUP(orders!C204,customers!$A$2:$A$1001,customers!$C$2:$C$1001,,,))</f>
        <v>tfelip5m@typepad.com</v>
      </c>
      <c r="H204" s="9" t="str">
        <f>_xlfn.XLOOKUP(C204,customers!$A$2:$A$1001,customers!$G$2:$G$1001,"")</f>
        <v>United States</v>
      </c>
      <c r="I204" s="10" t="str">
        <f>INDEX(products!$A$2:$G$49,MATCH(orders!$D204,products!$A$2:$A$49,0),MATCH(orders!I$1,products!$A$1:$G$1,0))</f>
        <v>Lib</v>
      </c>
      <c r="J204" s="10" t="str">
        <f>INDEX(products!$A$2:$G$49,MATCH(orders!$D204,products!$A$2:$A$49,0),MATCH(orders!J$1,products!$A$1:$G$1,0))</f>
        <v>D</v>
      </c>
      <c r="K204" s="11">
        <f>INDEX(products!$A$2:$G$49,MATCH(orders!$D204,products!$A$2:$A$49,0),MATCH(orders!K$1,products!$A$1:$G$1,0))</f>
        <v>2.5</v>
      </c>
      <c r="L204" s="12">
        <f>INDEX(products!$A$2:$G$49,MATCH(orders!$D204,products!$A$2:$A$49,0),MATCH(orders!L$1,products!$A$1:$G$1,0))</f>
        <v>29.784999999999997</v>
      </c>
      <c r="M204" s="12">
        <f t="shared" si="9"/>
        <v>178.70999999999998</v>
      </c>
      <c r="N204" s="10" t="str">
        <f t="shared" si="10"/>
        <v>Liberica</v>
      </c>
      <c r="O204" s="10" t="str">
        <f t="shared" si="11"/>
        <v>Dark</v>
      </c>
      <c r="P204" s="10" t="str">
        <f>_xlfn.XLOOKUP(Tableau1[[#This Row],[Customer ID]],customers!A$2:A$1001,customers!I$2:I$1001)</f>
        <v>Yes</v>
      </c>
    </row>
    <row r="205" spans="1:16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9" t="str">
        <f>_xlfn.XLOOKUP(orders!C205,customers!$A$2:$A$1001,customers!$B$2:$B$1001)</f>
        <v>Vanna Le - Count</v>
      </c>
      <c r="G205" s="9" t="str">
        <f>IF(_xlfn.XLOOKUP(orders!C205,customers!$A$2:$A$1001,customers!$C$2:$C$1001,,,)=0,"",_xlfn.XLOOKUP(orders!C205,customers!$A$2:$A$1001,customers!$C$2:$C$1001,,,))</f>
        <v>vle5n@disqus.com</v>
      </c>
      <c r="H205" s="9" t="str">
        <f>_xlfn.XLOOKUP(C205,customers!$A$2:$A$1001,customers!$G$2:$G$1001,"")</f>
        <v>United States</v>
      </c>
      <c r="I205" s="10" t="str">
        <f>INDEX(products!$A$2:$G$49,MATCH(orders!$D205,products!$A$2:$A$49,0),MATCH(orders!I$1,products!$A$1:$G$1,0))</f>
        <v>Lib</v>
      </c>
      <c r="J205" s="10" t="str">
        <f>INDEX(products!$A$2:$G$49,MATCH(orders!$D205,products!$A$2:$A$49,0),MATCH(orders!J$1,products!$A$1:$G$1,0))</f>
        <v>L</v>
      </c>
      <c r="K205" s="11">
        <f>INDEX(products!$A$2:$G$49,MATCH(orders!$D205,products!$A$2:$A$49,0),MATCH(orders!K$1,products!$A$1:$G$1,0))</f>
        <v>0.2</v>
      </c>
      <c r="L205" s="12">
        <f>INDEX(products!$A$2:$G$49,MATCH(orders!$D205,products!$A$2:$A$49,0),MATCH(orders!L$1,products!$A$1:$G$1,0))</f>
        <v>4.7549999999999999</v>
      </c>
      <c r="M205" s="12">
        <f t="shared" si="9"/>
        <v>4.7549999999999999</v>
      </c>
      <c r="N205" s="10" t="str">
        <f t="shared" si="10"/>
        <v>Liberica</v>
      </c>
      <c r="O205" s="10" t="str">
        <f t="shared" si="11"/>
        <v>Light</v>
      </c>
      <c r="P205" s="10" t="str">
        <f>_xlfn.XLOOKUP(Tableau1[[#This Row],[Customer ID]],customers!A$2:A$1001,customers!I$2:I$1001)</f>
        <v>No</v>
      </c>
    </row>
    <row r="206" spans="1:16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9" t="str">
        <f>_xlfn.XLOOKUP(orders!C206,customers!$A$2:$A$1001,customers!$B$2:$B$1001)</f>
        <v>Sarette Ducarel</v>
      </c>
      <c r="G206" s="9" t="str">
        <f>IF(_xlfn.XLOOKUP(orders!C206,customers!$A$2:$A$1001,customers!$C$2:$C$1001,,,)=0,"",_xlfn.XLOOKUP(orders!C206,customers!$A$2:$A$1001,customers!$C$2:$C$1001,,,))</f>
        <v/>
      </c>
      <c r="H206" s="9" t="str">
        <f>_xlfn.XLOOKUP(C206,customers!$A$2:$A$1001,customers!$G$2:$G$1001,"")</f>
        <v>United States</v>
      </c>
      <c r="I206" s="10" t="str">
        <f>INDEX(products!$A$2:$G$49,MATCH(orders!$D206,products!$A$2:$A$49,0),MATCH(orders!I$1,products!$A$1:$G$1,0))</f>
        <v>Exc</v>
      </c>
      <c r="J206" s="10" t="str">
        <f>INDEX(products!$A$2:$G$49,MATCH(orders!$D206,products!$A$2:$A$49,0),MATCH(orders!J$1,products!$A$1:$G$1,0))</f>
        <v>M</v>
      </c>
      <c r="K206" s="11">
        <f>INDEX(products!$A$2:$G$49,MATCH(orders!$D206,products!$A$2:$A$49,0),MATCH(orders!K$1,products!$A$1:$G$1,0))</f>
        <v>1</v>
      </c>
      <c r="L206" s="12">
        <f>INDEX(products!$A$2:$G$49,MATCH(orders!$D206,products!$A$2:$A$49,0),MATCH(orders!L$1,products!$A$1:$G$1,0))</f>
        <v>13.75</v>
      </c>
      <c r="M206" s="12">
        <f t="shared" si="9"/>
        <v>82.5</v>
      </c>
      <c r="N206" s="10" t="str">
        <f t="shared" si="10"/>
        <v>Excelsa</v>
      </c>
      <c r="O206" s="10" t="str">
        <f t="shared" si="11"/>
        <v>Medium</v>
      </c>
      <c r="P206" s="10" t="str">
        <f>_xlfn.XLOOKUP(Tableau1[[#This Row],[Customer ID]],customers!A$2:A$1001,customers!I$2:I$1001)</f>
        <v>No</v>
      </c>
    </row>
    <row r="207" spans="1:16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9" t="str">
        <f>_xlfn.XLOOKUP(orders!C207,customers!$A$2:$A$1001,customers!$B$2:$B$1001)</f>
        <v>Kendra Glison</v>
      </c>
      <c r="G207" s="9" t="str">
        <f>IF(_xlfn.XLOOKUP(orders!C207,customers!$A$2:$A$1001,customers!$C$2:$C$1001,,,)=0,"",_xlfn.XLOOKUP(orders!C207,customers!$A$2:$A$1001,customers!$C$2:$C$1001,,,))</f>
        <v/>
      </c>
      <c r="H207" s="9" t="str">
        <f>_xlfn.XLOOKUP(C207,customers!$A$2:$A$1001,customers!$G$2:$G$1001,"")</f>
        <v>United States</v>
      </c>
      <c r="I207" s="10" t="str">
        <f>INDEX(products!$A$2:$G$49,MATCH(orders!$D207,products!$A$2:$A$49,0),MATCH(orders!I$1,products!$A$1:$G$1,0))</f>
        <v>Rob</v>
      </c>
      <c r="J207" s="10" t="str">
        <f>INDEX(products!$A$2:$G$49,MATCH(orders!$D207,products!$A$2:$A$49,0),MATCH(orders!J$1,products!$A$1:$G$1,0))</f>
        <v>D</v>
      </c>
      <c r="K207" s="11">
        <f>INDEX(products!$A$2:$G$49,MATCH(orders!$D207,products!$A$2:$A$49,0),MATCH(orders!K$1,products!$A$1:$G$1,0))</f>
        <v>0.2</v>
      </c>
      <c r="L207" s="12">
        <f>INDEX(products!$A$2:$G$49,MATCH(orders!$D207,products!$A$2:$A$49,0),MATCH(orders!L$1,products!$A$1:$G$1,0))</f>
        <v>2.6849999999999996</v>
      </c>
      <c r="M207" s="12">
        <f t="shared" si="9"/>
        <v>8.0549999999999997</v>
      </c>
      <c r="N207" s="10" t="str">
        <f t="shared" si="10"/>
        <v>Robusta</v>
      </c>
      <c r="O207" s="10" t="str">
        <f t="shared" si="11"/>
        <v>Dark</v>
      </c>
      <c r="P207" s="10" t="str">
        <f>_xlfn.XLOOKUP(Tableau1[[#This Row],[Customer ID]],customers!A$2:A$1001,customers!I$2:I$1001)</f>
        <v>Yes</v>
      </c>
    </row>
    <row r="208" spans="1:16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9" t="str">
        <f>_xlfn.XLOOKUP(orders!C208,customers!$A$2:$A$1001,customers!$B$2:$B$1001)</f>
        <v>Nertie Poolman</v>
      </c>
      <c r="G208" s="9" t="str">
        <f>IF(_xlfn.XLOOKUP(orders!C208,customers!$A$2:$A$1001,customers!$C$2:$C$1001,,,)=0,"",_xlfn.XLOOKUP(orders!C208,customers!$A$2:$A$1001,customers!$C$2:$C$1001,,,))</f>
        <v>npoolman5q@howstuffworks.com</v>
      </c>
      <c r="H208" s="9" t="str">
        <f>_xlfn.XLOOKUP(C208,customers!$A$2:$A$1001,customers!$G$2:$G$1001,"")</f>
        <v>United States</v>
      </c>
      <c r="I208" s="10" t="str">
        <f>INDEX(products!$A$2:$G$49,MATCH(orders!$D208,products!$A$2:$A$49,0),MATCH(orders!I$1,products!$A$1:$G$1,0))</f>
        <v>Ara</v>
      </c>
      <c r="J208" s="10" t="str">
        <f>INDEX(products!$A$2:$G$49,MATCH(orders!$D208,products!$A$2:$A$49,0),MATCH(orders!J$1,products!$A$1:$G$1,0))</f>
        <v>M</v>
      </c>
      <c r="K208" s="11">
        <f>INDEX(products!$A$2:$G$49,MATCH(orders!$D208,products!$A$2:$A$49,0),MATCH(orders!K$1,products!$A$1:$G$1,0))</f>
        <v>1</v>
      </c>
      <c r="L208" s="12">
        <f>INDEX(products!$A$2:$G$49,MATCH(orders!$D208,products!$A$2:$A$49,0),MATCH(orders!L$1,products!$A$1:$G$1,0))</f>
        <v>11.25</v>
      </c>
      <c r="M208" s="12">
        <f t="shared" si="9"/>
        <v>22.5</v>
      </c>
      <c r="N208" s="10" t="str">
        <f t="shared" si="10"/>
        <v>Arabica</v>
      </c>
      <c r="O208" s="10" t="str">
        <f t="shared" si="11"/>
        <v>Medium</v>
      </c>
      <c r="P208" s="10" t="str">
        <f>_xlfn.XLOOKUP(Tableau1[[#This Row],[Customer ID]],customers!A$2:A$1001,customers!I$2:I$1001)</f>
        <v>No</v>
      </c>
    </row>
    <row r="209" spans="1:16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9" t="str">
        <f>_xlfn.XLOOKUP(orders!C209,customers!$A$2:$A$1001,customers!$B$2:$B$1001)</f>
        <v>Orbadiah Duny</v>
      </c>
      <c r="G209" s="9" t="str">
        <f>IF(_xlfn.XLOOKUP(orders!C209,customers!$A$2:$A$1001,customers!$C$2:$C$1001,,,)=0,"",_xlfn.XLOOKUP(orders!C209,customers!$A$2:$A$1001,customers!$C$2:$C$1001,,,))</f>
        <v>oduny5r@constantcontact.com</v>
      </c>
      <c r="H209" s="9" t="str">
        <f>_xlfn.XLOOKUP(C209,customers!$A$2:$A$1001,customers!$G$2:$G$1001,"")</f>
        <v>United States</v>
      </c>
      <c r="I209" s="10" t="str">
        <f>INDEX(products!$A$2:$G$49,MATCH(orders!$D209,products!$A$2:$A$49,0),MATCH(orders!I$1,products!$A$1:$G$1,0))</f>
        <v>Ara</v>
      </c>
      <c r="J209" s="10" t="str">
        <f>INDEX(products!$A$2:$G$49,MATCH(orders!$D209,products!$A$2:$A$49,0),MATCH(orders!J$1,products!$A$1:$G$1,0))</f>
        <v>M</v>
      </c>
      <c r="K209" s="11">
        <f>INDEX(products!$A$2:$G$49,MATCH(orders!$D209,products!$A$2:$A$49,0),MATCH(orders!K$1,products!$A$1:$G$1,0))</f>
        <v>0.5</v>
      </c>
      <c r="L209" s="12">
        <f>INDEX(products!$A$2:$G$49,MATCH(orders!$D209,products!$A$2:$A$49,0),MATCH(orders!L$1,products!$A$1:$G$1,0))</f>
        <v>6.75</v>
      </c>
      <c r="M209" s="12">
        <f t="shared" si="9"/>
        <v>40.5</v>
      </c>
      <c r="N209" s="10" t="str">
        <f t="shared" si="10"/>
        <v>Arabica</v>
      </c>
      <c r="O209" s="10" t="str">
        <f t="shared" si="11"/>
        <v>Medium</v>
      </c>
      <c r="P209" s="10" t="str">
        <f>_xlfn.XLOOKUP(Tableau1[[#This Row],[Customer ID]],customers!A$2:A$1001,customers!I$2:I$1001)</f>
        <v>Yes</v>
      </c>
    </row>
    <row r="210" spans="1:16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9" t="str">
        <f>_xlfn.XLOOKUP(orders!C210,customers!$A$2:$A$1001,customers!$B$2:$B$1001)</f>
        <v>Constance Halfhide</v>
      </c>
      <c r="G210" s="9" t="str">
        <f>IF(_xlfn.XLOOKUP(orders!C210,customers!$A$2:$A$1001,customers!$C$2:$C$1001,,,)=0,"",_xlfn.XLOOKUP(orders!C210,customers!$A$2:$A$1001,customers!$C$2:$C$1001,,,))</f>
        <v>chalfhide5s@google.ru</v>
      </c>
      <c r="H210" s="9" t="str">
        <f>_xlfn.XLOOKUP(C210,customers!$A$2:$A$1001,customers!$G$2:$G$1001,"")</f>
        <v>Ireland</v>
      </c>
      <c r="I210" s="10" t="str">
        <f>INDEX(products!$A$2:$G$49,MATCH(orders!$D210,products!$A$2:$A$49,0),MATCH(orders!I$1,products!$A$1:$G$1,0))</f>
        <v>Exc</v>
      </c>
      <c r="J210" s="10" t="str">
        <f>INDEX(products!$A$2:$G$49,MATCH(orders!$D210,products!$A$2:$A$49,0),MATCH(orders!J$1,products!$A$1:$G$1,0))</f>
        <v>D</v>
      </c>
      <c r="K210" s="11">
        <f>INDEX(products!$A$2:$G$49,MATCH(orders!$D210,products!$A$2:$A$49,0),MATCH(orders!K$1,products!$A$1:$G$1,0))</f>
        <v>0.5</v>
      </c>
      <c r="L210" s="12">
        <f>INDEX(products!$A$2:$G$49,MATCH(orders!$D210,products!$A$2:$A$49,0),MATCH(orders!L$1,products!$A$1:$G$1,0))</f>
        <v>7.29</v>
      </c>
      <c r="M210" s="12">
        <f t="shared" si="9"/>
        <v>29.16</v>
      </c>
      <c r="N210" s="10" t="str">
        <f t="shared" si="10"/>
        <v>Excelsa</v>
      </c>
      <c r="O210" s="10" t="str">
        <f t="shared" si="11"/>
        <v>Dark</v>
      </c>
      <c r="P210" s="10" t="str">
        <f>_xlfn.XLOOKUP(Tableau1[[#This Row],[Customer ID]],customers!A$2:A$1001,customers!I$2:I$1001)</f>
        <v>Yes</v>
      </c>
    </row>
    <row r="211" spans="1:16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9" t="str">
        <f>_xlfn.XLOOKUP(orders!C211,customers!$A$2:$A$1001,customers!$B$2:$B$1001)</f>
        <v>Fransisco Malecky</v>
      </c>
      <c r="G211" s="9" t="str">
        <f>IF(_xlfn.XLOOKUP(orders!C211,customers!$A$2:$A$1001,customers!$C$2:$C$1001,,,)=0,"",_xlfn.XLOOKUP(orders!C211,customers!$A$2:$A$1001,customers!$C$2:$C$1001,,,))</f>
        <v>fmalecky5t@list-manage.com</v>
      </c>
      <c r="H211" s="9" t="str">
        <f>_xlfn.XLOOKUP(C211,customers!$A$2:$A$1001,customers!$G$2:$G$1001,"")</f>
        <v>United Kingdom</v>
      </c>
      <c r="I211" s="10" t="str">
        <f>INDEX(products!$A$2:$G$49,MATCH(orders!$D211,products!$A$2:$A$49,0),MATCH(orders!I$1,products!$A$1:$G$1,0))</f>
        <v>Ara</v>
      </c>
      <c r="J211" s="10" t="str">
        <f>INDEX(products!$A$2:$G$49,MATCH(orders!$D211,products!$A$2:$A$49,0),MATCH(orders!J$1,products!$A$1:$G$1,0))</f>
        <v>M</v>
      </c>
      <c r="K211" s="11">
        <f>INDEX(products!$A$2:$G$49,MATCH(orders!$D211,products!$A$2:$A$49,0),MATCH(orders!K$1,products!$A$1:$G$1,0))</f>
        <v>0.5</v>
      </c>
      <c r="L211" s="12">
        <f>INDEX(products!$A$2:$G$49,MATCH(orders!$D211,products!$A$2:$A$49,0),MATCH(orders!L$1,products!$A$1:$G$1,0))</f>
        <v>6.75</v>
      </c>
      <c r="M211" s="12">
        <f t="shared" si="9"/>
        <v>6.75</v>
      </c>
      <c r="N211" s="10" t="str">
        <f t="shared" si="10"/>
        <v>Arabica</v>
      </c>
      <c r="O211" s="10" t="str">
        <f t="shared" si="11"/>
        <v>Medium</v>
      </c>
      <c r="P211" s="10" t="str">
        <f>_xlfn.XLOOKUP(Tableau1[[#This Row],[Customer ID]],customers!A$2:A$1001,customers!I$2:I$1001)</f>
        <v>No</v>
      </c>
    </row>
    <row r="212" spans="1:16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9" t="str">
        <f>_xlfn.XLOOKUP(orders!C212,customers!$A$2:$A$1001,customers!$B$2:$B$1001)</f>
        <v>Anselma Attwater</v>
      </c>
      <c r="G212" s="9" t="str">
        <f>IF(_xlfn.XLOOKUP(orders!C212,customers!$A$2:$A$1001,customers!$C$2:$C$1001,,,)=0,"",_xlfn.XLOOKUP(orders!C212,customers!$A$2:$A$1001,customers!$C$2:$C$1001,,,))</f>
        <v>aattwater5u@wikia.com</v>
      </c>
      <c r="H212" s="9" t="str">
        <f>_xlfn.XLOOKUP(C212,customers!$A$2:$A$1001,customers!$G$2:$G$1001,"")</f>
        <v>United States</v>
      </c>
      <c r="I212" s="10" t="str">
        <f>INDEX(products!$A$2:$G$49,MATCH(orders!$D212,products!$A$2:$A$49,0),MATCH(orders!I$1,products!$A$1:$G$1,0))</f>
        <v>Lib</v>
      </c>
      <c r="J212" s="10" t="str">
        <f>INDEX(products!$A$2:$G$49,MATCH(orders!$D212,products!$A$2:$A$49,0),MATCH(orders!J$1,products!$A$1:$G$1,0))</f>
        <v>D</v>
      </c>
      <c r="K212" s="11">
        <f>INDEX(products!$A$2:$G$49,MATCH(orders!$D212,products!$A$2:$A$49,0),MATCH(orders!K$1,products!$A$1:$G$1,0))</f>
        <v>1</v>
      </c>
      <c r="L212" s="12">
        <f>INDEX(products!$A$2:$G$49,MATCH(orders!$D212,products!$A$2:$A$49,0),MATCH(orders!L$1,products!$A$1:$G$1,0))</f>
        <v>12.95</v>
      </c>
      <c r="M212" s="12">
        <f t="shared" si="9"/>
        <v>51.8</v>
      </c>
      <c r="N212" s="10" t="str">
        <f t="shared" si="10"/>
        <v>Liberica</v>
      </c>
      <c r="O212" s="10" t="str">
        <f t="shared" si="11"/>
        <v>Dark</v>
      </c>
      <c r="P212" s="10" t="str">
        <f>_xlfn.XLOOKUP(Tableau1[[#This Row],[Customer ID]],customers!A$2:A$1001,customers!I$2:I$1001)</f>
        <v>Yes</v>
      </c>
    </row>
    <row r="213" spans="1:16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9" t="str">
        <f>_xlfn.XLOOKUP(orders!C213,customers!$A$2:$A$1001,customers!$B$2:$B$1001)</f>
        <v>Minette Whellans</v>
      </c>
      <c r="G213" s="9" t="str">
        <f>IF(_xlfn.XLOOKUP(orders!C213,customers!$A$2:$A$1001,customers!$C$2:$C$1001,,,)=0,"",_xlfn.XLOOKUP(orders!C213,customers!$A$2:$A$1001,customers!$C$2:$C$1001,,,))</f>
        <v>mwhellans5v@mapquest.com</v>
      </c>
      <c r="H213" s="9" t="str">
        <f>_xlfn.XLOOKUP(C213,customers!$A$2:$A$1001,customers!$G$2:$G$1001,"")</f>
        <v>United States</v>
      </c>
      <c r="I213" s="10" t="str">
        <f>INDEX(products!$A$2:$G$49,MATCH(orders!$D213,products!$A$2:$A$49,0),MATCH(orders!I$1,products!$A$1:$G$1,0))</f>
        <v>Exc</v>
      </c>
      <c r="J213" s="10" t="str">
        <f>INDEX(products!$A$2:$G$49,MATCH(orders!$D213,products!$A$2:$A$49,0),MATCH(orders!J$1,products!$A$1:$G$1,0))</f>
        <v>L</v>
      </c>
      <c r="K213" s="11">
        <f>INDEX(products!$A$2:$G$49,MATCH(orders!$D213,products!$A$2:$A$49,0),MATCH(orders!K$1,products!$A$1:$G$1,0))</f>
        <v>0.5</v>
      </c>
      <c r="L213" s="12">
        <f>INDEX(products!$A$2:$G$49,MATCH(orders!$D213,products!$A$2:$A$49,0),MATCH(orders!L$1,products!$A$1:$G$1,0))</f>
        <v>8.91</v>
      </c>
      <c r="M213" s="12">
        <f t="shared" si="9"/>
        <v>53.46</v>
      </c>
      <c r="N213" s="10" t="str">
        <f t="shared" si="10"/>
        <v>Excelsa</v>
      </c>
      <c r="O213" s="10" t="str">
        <f t="shared" si="11"/>
        <v>Light</v>
      </c>
      <c r="P213" s="10" t="str">
        <f>_xlfn.XLOOKUP(Tableau1[[#This Row],[Customer ID]],customers!A$2:A$1001,customers!I$2:I$1001)</f>
        <v>No</v>
      </c>
    </row>
    <row r="214" spans="1:16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9" t="str">
        <f>_xlfn.XLOOKUP(orders!C214,customers!$A$2:$A$1001,customers!$B$2:$B$1001)</f>
        <v>Dael Camilletti</v>
      </c>
      <c r="G214" s="9" t="str">
        <f>IF(_xlfn.XLOOKUP(orders!C214,customers!$A$2:$A$1001,customers!$C$2:$C$1001,,,)=0,"",_xlfn.XLOOKUP(orders!C214,customers!$A$2:$A$1001,customers!$C$2:$C$1001,,,))</f>
        <v>dcamilletti5w@businesswire.com</v>
      </c>
      <c r="H214" s="9" t="str">
        <f>_xlfn.XLOOKUP(C214,customers!$A$2:$A$1001,customers!$G$2:$G$1001,"")</f>
        <v>United States</v>
      </c>
      <c r="I214" s="10" t="str">
        <f>INDEX(products!$A$2:$G$49,MATCH(orders!$D214,products!$A$2:$A$49,0),MATCH(orders!I$1,products!$A$1:$G$1,0))</f>
        <v>Exc</v>
      </c>
      <c r="J214" s="10" t="str">
        <f>INDEX(products!$A$2:$G$49,MATCH(orders!$D214,products!$A$2:$A$49,0),MATCH(orders!J$1,products!$A$1:$G$1,0))</f>
        <v>D</v>
      </c>
      <c r="K214" s="11">
        <f>INDEX(products!$A$2:$G$49,MATCH(orders!$D214,products!$A$2:$A$49,0),MATCH(orders!K$1,products!$A$1:$G$1,0))</f>
        <v>0.2</v>
      </c>
      <c r="L214" s="12">
        <f>INDEX(products!$A$2:$G$49,MATCH(orders!$D214,products!$A$2:$A$49,0),MATCH(orders!L$1,products!$A$1:$G$1,0))</f>
        <v>3.645</v>
      </c>
      <c r="M214" s="12">
        <f t="shared" si="9"/>
        <v>14.58</v>
      </c>
      <c r="N214" s="10" t="str">
        <f t="shared" si="10"/>
        <v>Excelsa</v>
      </c>
      <c r="O214" s="10" t="str">
        <f t="shared" si="11"/>
        <v>Dark</v>
      </c>
      <c r="P214" s="10" t="str">
        <f>_xlfn.XLOOKUP(Tableau1[[#This Row],[Customer ID]],customers!A$2:A$1001,customers!I$2:I$1001)</f>
        <v>Yes</v>
      </c>
    </row>
    <row r="215" spans="1:16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9" t="str">
        <f>_xlfn.XLOOKUP(orders!C215,customers!$A$2:$A$1001,customers!$B$2:$B$1001)</f>
        <v>Emiline Galgey</v>
      </c>
      <c r="G215" s="9" t="str">
        <f>IF(_xlfn.XLOOKUP(orders!C215,customers!$A$2:$A$1001,customers!$C$2:$C$1001,,,)=0,"",_xlfn.XLOOKUP(orders!C215,customers!$A$2:$A$1001,customers!$C$2:$C$1001,,,))</f>
        <v>egalgey5x@wufoo.com</v>
      </c>
      <c r="H215" s="9" t="str">
        <f>_xlfn.XLOOKUP(C215,customers!$A$2:$A$1001,customers!$G$2:$G$1001,"")</f>
        <v>United States</v>
      </c>
      <c r="I215" s="10" t="str">
        <f>INDEX(products!$A$2:$G$49,MATCH(orders!$D215,products!$A$2:$A$49,0),MATCH(orders!I$1,products!$A$1:$G$1,0))</f>
        <v>Rob</v>
      </c>
      <c r="J215" s="10" t="str">
        <f>INDEX(products!$A$2:$G$49,MATCH(orders!$D215,products!$A$2:$A$49,0),MATCH(orders!J$1,products!$A$1:$G$1,0))</f>
        <v>D</v>
      </c>
      <c r="K215" s="11">
        <f>INDEX(products!$A$2:$G$49,MATCH(orders!$D215,products!$A$2:$A$49,0),MATCH(orders!K$1,products!$A$1:$G$1,0))</f>
        <v>2.5</v>
      </c>
      <c r="L215" s="12">
        <f>INDEX(products!$A$2:$G$49,MATCH(orders!$D215,products!$A$2:$A$49,0),MATCH(orders!L$1,products!$A$1:$G$1,0))</f>
        <v>20.584999999999997</v>
      </c>
      <c r="M215" s="12">
        <f t="shared" si="9"/>
        <v>20.584999999999997</v>
      </c>
      <c r="N215" s="10" t="str">
        <f t="shared" si="10"/>
        <v>Robusta</v>
      </c>
      <c r="O215" s="10" t="str">
        <f t="shared" si="11"/>
        <v>Dark</v>
      </c>
      <c r="P215" s="10" t="str">
        <f>_xlfn.XLOOKUP(Tableau1[[#This Row],[Customer ID]],customers!A$2:A$1001,customers!I$2:I$1001)</f>
        <v>No</v>
      </c>
    </row>
    <row r="216" spans="1:16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9" t="str">
        <f>_xlfn.XLOOKUP(orders!C216,customers!$A$2:$A$1001,customers!$B$2:$B$1001)</f>
        <v>Murdock Hame</v>
      </c>
      <c r="G216" s="9" t="str">
        <f>IF(_xlfn.XLOOKUP(orders!C216,customers!$A$2:$A$1001,customers!$C$2:$C$1001,,,)=0,"",_xlfn.XLOOKUP(orders!C216,customers!$A$2:$A$1001,customers!$C$2:$C$1001,,,))</f>
        <v>mhame5y@newsvine.com</v>
      </c>
      <c r="H216" s="9" t="str">
        <f>_xlfn.XLOOKUP(C216,customers!$A$2:$A$1001,customers!$G$2:$G$1001,"")</f>
        <v>Ireland</v>
      </c>
      <c r="I216" s="10" t="str">
        <f>INDEX(products!$A$2:$G$49,MATCH(orders!$D216,products!$A$2:$A$49,0),MATCH(orders!I$1,products!$A$1:$G$1,0))</f>
        <v>Lib</v>
      </c>
      <c r="J216" s="10" t="str">
        <f>INDEX(products!$A$2:$G$49,MATCH(orders!$D216,products!$A$2:$A$49,0),MATCH(orders!J$1,products!$A$1:$G$1,0))</f>
        <v>L</v>
      </c>
      <c r="K216" s="11">
        <f>INDEX(products!$A$2:$G$49,MATCH(orders!$D216,products!$A$2:$A$49,0),MATCH(orders!K$1,products!$A$1:$G$1,0))</f>
        <v>1</v>
      </c>
      <c r="L216" s="12">
        <f>INDEX(products!$A$2:$G$49,MATCH(orders!$D216,products!$A$2:$A$49,0),MATCH(orders!L$1,products!$A$1:$G$1,0))</f>
        <v>15.85</v>
      </c>
      <c r="M216" s="12">
        <f t="shared" si="9"/>
        <v>31.7</v>
      </c>
      <c r="N216" s="10" t="str">
        <f t="shared" si="10"/>
        <v>Liberica</v>
      </c>
      <c r="O216" s="10" t="str">
        <f t="shared" si="11"/>
        <v>Light</v>
      </c>
      <c r="P216" s="10" t="str">
        <f>_xlfn.XLOOKUP(Tableau1[[#This Row],[Customer ID]],customers!A$2:A$1001,customers!I$2:I$1001)</f>
        <v>No</v>
      </c>
    </row>
    <row r="217" spans="1:16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9" t="str">
        <f>_xlfn.XLOOKUP(orders!C217,customers!$A$2:$A$1001,customers!$B$2:$B$1001)</f>
        <v>Ilka Gurnee</v>
      </c>
      <c r="G217" s="9" t="str">
        <f>IF(_xlfn.XLOOKUP(orders!C217,customers!$A$2:$A$1001,customers!$C$2:$C$1001,,,)=0,"",_xlfn.XLOOKUP(orders!C217,customers!$A$2:$A$1001,customers!$C$2:$C$1001,,,))</f>
        <v>igurnee5z@usnews.com</v>
      </c>
      <c r="H217" s="9" t="str">
        <f>_xlfn.XLOOKUP(C217,customers!$A$2:$A$1001,customers!$G$2:$G$1001,"")</f>
        <v>United States</v>
      </c>
      <c r="I217" s="10" t="str">
        <f>INDEX(products!$A$2:$G$49,MATCH(orders!$D217,products!$A$2:$A$49,0),MATCH(orders!I$1,products!$A$1:$G$1,0))</f>
        <v>Lib</v>
      </c>
      <c r="J217" s="10" t="str">
        <f>INDEX(products!$A$2:$G$49,MATCH(orders!$D217,products!$A$2:$A$49,0),MATCH(orders!J$1,products!$A$1:$G$1,0))</f>
        <v>D</v>
      </c>
      <c r="K217" s="11">
        <f>INDEX(products!$A$2:$G$49,MATCH(orders!$D217,products!$A$2:$A$49,0),MATCH(orders!K$1,products!$A$1:$G$1,0))</f>
        <v>0.2</v>
      </c>
      <c r="L217" s="12">
        <f>INDEX(products!$A$2:$G$49,MATCH(orders!$D217,products!$A$2:$A$49,0),MATCH(orders!L$1,products!$A$1:$G$1,0))</f>
        <v>3.8849999999999998</v>
      </c>
      <c r="M217" s="12">
        <f t="shared" si="9"/>
        <v>23.31</v>
      </c>
      <c r="N217" s="10" t="str">
        <f t="shared" si="10"/>
        <v>Liberica</v>
      </c>
      <c r="O217" s="10" t="str">
        <f t="shared" si="11"/>
        <v>Dark</v>
      </c>
      <c r="P217" s="10" t="str">
        <f>_xlfn.XLOOKUP(Tableau1[[#This Row],[Customer ID]],customers!A$2:A$1001,customers!I$2:I$1001)</f>
        <v>No</v>
      </c>
    </row>
    <row r="218" spans="1:16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9" t="str">
        <f>_xlfn.XLOOKUP(orders!C218,customers!$A$2:$A$1001,customers!$B$2:$B$1001)</f>
        <v>Alfy Snowding</v>
      </c>
      <c r="G218" s="9" t="str">
        <f>IF(_xlfn.XLOOKUP(orders!C218,customers!$A$2:$A$1001,customers!$C$2:$C$1001,,,)=0,"",_xlfn.XLOOKUP(orders!C218,customers!$A$2:$A$1001,customers!$C$2:$C$1001,,,))</f>
        <v>asnowding60@comsenz.com</v>
      </c>
      <c r="H218" s="9" t="str">
        <f>_xlfn.XLOOKUP(C218,customers!$A$2:$A$1001,customers!$G$2:$G$1001,"")</f>
        <v>United States</v>
      </c>
      <c r="I218" s="10" t="str">
        <f>INDEX(products!$A$2:$G$49,MATCH(orders!$D218,products!$A$2:$A$49,0),MATCH(orders!I$1,products!$A$1:$G$1,0))</f>
        <v>Lib</v>
      </c>
      <c r="J218" s="10" t="str">
        <f>INDEX(products!$A$2:$G$49,MATCH(orders!$D218,products!$A$2:$A$49,0),MATCH(orders!J$1,products!$A$1:$G$1,0))</f>
        <v>M</v>
      </c>
      <c r="K218" s="11">
        <f>INDEX(products!$A$2:$G$49,MATCH(orders!$D218,products!$A$2:$A$49,0),MATCH(orders!K$1,products!$A$1:$G$1,0))</f>
        <v>1</v>
      </c>
      <c r="L218" s="12">
        <f>INDEX(products!$A$2:$G$49,MATCH(orders!$D218,products!$A$2:$A$49,0),MATCH(orders!L$1,products!$A$1:$G$1,0))</f>
        <v>14.55</v>
      </c>
      <c r="M218" s="12">
        <f t="shared" si="9"/>
        <v>58.2</v>
      </c>
      <c r="N218" s="10" t="str">
        <f t="shared" si="10"/>
        <v>Liberica</v>
      </c>
      <c r="O218" s="10" t="str">
        <f t="shared" si="11"/>
        <v>Medium</v>
      </c>
      <c r="P218" s="10" t="str">
        <f>_xlfn.XLOOKUP(Tableau1[[#This Row],[Customer ID]],customers!A$2:A$1001,customers!I$2:I$1001)</f>
        <v>Yes</v>
      </c>
    </row>
    <row r="219" spans="1:16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9" t="str">
        <f>_xlfn.XLOOKUP(orders!C219,customers!$A$2:$A$1001,customers!$B$2:$B$1001)</f>
        <v>Godfry Poinsett</v>
      </c>
      <c r="G219" s="9" t="str">
        <f>IF(_xlfn.XLOOKUP(orders!C219,customers!$A$2:$A$1001,customers!$C$2:$C$1001,,,)=0,"",_xlfn.XLOOKUP(orders!C219,customers!$A$2:$A$1001,customers!$C$2:$C$1001,,,))</f>
        <v>gpoinsett61@berkeley.edu</v>
      </c>
      <c r="H219" s="9" t="str">
        <f>_xlfn.XLOOKUP(C219,customers!$A$2:$A$1001,customers!$G$2:$G$1001,"")</f>
        <v>United States</v>
      </c>
      <c r="I219" s="10" t="str">
        <f>INDEX(products!$A$2:$G$49,MATCH(orders!$D219,products!$A$2:$A$49,0),MATCH(orders!I$1,products!$A$1:$G$1,0))</f>
        <v>Exc</v>
      </c>
      <c r="J219" s="10" t="str">
        <f>INDEX(products!$A$2:$G$49,MATCH(orders!$D219,products!$A$2:$A$49,0),MATCH(orders!J$1,products!$A$1:$G$1,0))</f>
        <v>L</v>
      </c>
      <c r="K219" s="11">
        <f>INDEX(products!$A$2:$G$49,MATCH(orders!$D219,products!$A$2:$A$49,0),MATCH(orders!K$1,products!$A$1:$G$1,0))</f>
        <v>0.5</v>
      </c>
      <c r="L219" s="12">
        <f>INDEX(products!$A$2:$G$49,MATCH(orders!$D219,products!$A$2:$A$49,0),MATCH(orders!L$1,products!$A$1:$G$1,0))</f>
        <v>8.91</v>
      </c>
      <c r="M219" s="12">
        <f t="shared" si="9"/>
        <v>35.64</v>
      </c>
      <c r="N219" s="10" t="str">
        <f t="shared" si="10"/>
        <v>Excelsa</v>
      </c>
      <c r="O219" s="10" t="str">
        <f t="shared" si="11"/>
        <v>Light</v>
      </c>
      <c r="P219" s="10" t="str">
        <f>_xlfn.XLOOKUP(Tableau1[[#This Row],[Customer ID]],customers!A$2:A$1001,customers!I$2:I$1001)</f>
        <v>No</v>
      </c>
    </row>
    <row r="220" spans="1:16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9" t="str">
        <f>_xlfn.XLOOKUP(orders!C220,customers!$A$2:$A$1001,customers!$B$2:$B$1001)</f>
        <v>Rem Furman</v>
      </c>
      <c r="G220" s="9" t="str">
        <f>IF(_xlfn.XLOOKUP(orders!C220,customers!$A$2:$A$1001,customers!$C$2:$C$1001,,,)=0,"",_xlfn.XLOOKUP(orders!C220,customers!$A$2:$A$1001,customers!$C$2:$C$1001,,,))</f>
        <v>rfurman62@t.co</v>
      </c>
      <c r="H220" s="9" t="str">
        <f>_xlfn.XLOOKUP(C220,customers!$A$2:$A$1001,customers!$G$2:$G$1001,"")</f>
        <v>Ireland</v>
      </c>
      <c r="I220" s="10" t="str">
        <f>INDEX(products!$A$2:$G$49,MATCH(orders!$D220,products!$A$2:$A$49,0),MATCH(orders!I$1,products!$A$1:$G$1,0))</f>
        <v>Ara</v>
      </c>
      <c r="J220" s="10" t="str">
        <f>INDEX(products!$A$2:$G$49,MATCH(orders!$D220,products!$A$2:$A$49,0),MATCH(orders!J$1,products!$A$1:$G$1,0))</f>
        <v>M</v>
      </c>
      <c r="K220" s="11">
        <f>INDEX(products!$A$2:$G$49,MATCH(orders!$D220,products!$A$2:$A$49,0),MATCH(orders!K$1,products!$A$1:$G$1,0))</f>
        <v>1</v>
      </c>
      <c r="L220" s="12">
        <f>INDEX(products!$A$2:$G$49,MATCH(orders!$D220,products!$A$2:$A$49,0),MATCH(orders!L$1,products!$A$1:$G$1,0))</f>
        <v>11.25</v>
      </c>
      <c r="M220" s="12">
        <f t="shared" si="9"/>
        <v>56.25</v>
      </c>
      <c r="N220" s="10" t="str">
        <f t="shared" si="10"/>
        <v>Arabica</v>
      </c>
      <c r="O220" s="10" t="str">
        <f t="shared" si="11"/>
        <v>Medium</v>
      </c>
      <c r="P220" s="10" t="str">
        <f>_xlfn.XLOOKUP(Tableau1[[#This Row],[Customer ID]],customers!A$2:A$1001,customers!I$2:I$1001)</f>
        <v>Yes</v>
      </c>
    </row>
    <row r="221" spans="1:16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9" t="str">
        <f>_xlfn.XLOOKUP(orders!C221,customers!$A$2:$A$1001,customers!$B$2:$B$1001)</f>
        <v>Charis Crosier</v>
      </c>
      <c r="G221" s="9" t="str">
        <f>IF(_xlfn.XLOOKUP(orders!C221,customers!$A$2:$A$1001,customers!$C$2:$C$1001,,,)=0,"",_xlfn.XLOOKUP(orders!C221,customers!$A$2:$A$1001,customers!$C$2:$C$1001,,,))</f>
        <v>ccrosier63@xrea.com</v>
      </c>
      <c r="H221" s="9" t="str">
        <f>_xlfn.XLOOKUP(C221,customers!$A$2:$A$1001,customers!$G$2:$G$1001,"")</f>
        <v>United States</v>
      </c>
      <c r="I221" s="10" t="str">
        <f>INDEX(products!$A$2:$G$49,MATCH(orders!$D221,products!$A$2:$A$49,0),MATCH(orders!I$1,products!$A$1:$G$1,0))</f>
        <v>Rob</v>
      </c>
      <c r="J221" s="10" t="str">
        <f>INDEX(products!$A$2:$G$49,MATCH(orders!$D221,products!$A$2:$A$49,0),MATCH(orders!J$1,products!$A$1:$G$1,0))</f>
        <v>L</v>
      </c>
      <c r="K221" s="11">
        <f>INDEX(products!$A$2:$G$49,MATCH(orders!$D221,products!$A$2:$A$49,0),MATCH(orders!K$1,products!$A$1:$G$1,0))</f>
        <v>0.2</v>
      </c>
      <c r="L221" s="12">
        <f>INDEX(products!$A$2:$G$49,MATCH(orders!$D221,products!$A$2:$A$49,0),MATCH(orders!L$1,products!$A$1:$G$1,0))</f>
        <v>3.5849999999999995</v>
      </c>
      <c r="M221" s="12">
        <f t="shared" si="9"/>
        <v>10.754999999999999</v>
      </c>
      <c r="N221" s="10" t="str">
        <f t="shared" si="10"/>
        <v>Robusta</v>
      </c>
      <c r="O221" s="10" t="str">
        <f t="shared" si="11"/>
        <v>Light</v>
      </c>
      <c r="P221" s="10" t="str">
        <f>_xlfn.XLOOKUP(Tableau1[[#This Row],[Customer ID]],customers!A$2:A$1001,customers!I$2:I$1001)</f>
        <v>No</v>
      </c>
    </row>
    <row r="222" spans="1:16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9" t="str">
        <f>_xlfn.XLOOKUP(orders!C222,customers!$A$2:$A$1001,customers!$B$2:$B$1001)</f>
        <v>Charis Crosier</v>
      </c>
      <c r="G222" s="9" t="str">
        <f>IF(_xlfn.XLOOKUP(orders!C222,customers!$A$2:$A$1001,customers!$C$2:$C$1001,,,)=0,"",_xlfn.XLOOKUP(orders!C222,customers!$A$2:$A$1001,customers!$C$2:$C$1001,,,))</f>
        <v>ccrosier63@xrea.com</v>
      </c>
      <c r="H222" s="9" t="str">
        <f>_xlfn.XLOOKUP(C222,customers!$A$2:$A$1001,customers!$G$2:$G$1001,"")</f>
        <v>United States</v>
      </c>
      <c r="I222" s="10" t="str">
        <f>INDEX(products!$A$2:$G$49,MATCH(orders!$D222,products!$A$2:$A$49,0),MATCH(orders!I$1,products!$A$1:$G$1,0))</f>
        <v>Rob</v>
      </c>
      <c r="J222" s="10" t="str">
        <f>INDEX(products!$A$2:$G$49,MATCH(orders!$D222,products!$A$2:$A$49,0),MATCH(orders!J$1,products!$A$1:$G$1,0))</f>
        <v>M</v>
      </c>
      <c r="K222" s="11">
        <f>INDEX(products!$A$2:$G$49,MATCH(orders!$D222,products!$A$2:$A$49,0),MATCH(orders!K$1,products!$A$1:$G$1,0))</f>
        <v>0.2</v>
      </c>
      <c r="L222" s="12">
        <f>INDEX(products!$A$2:$G$49,MATCH(orders!$D222,products!$A$2:$A$49,0),MATCH(orders!L$1,products!$A$1:$G$1,0))</f>
        <v>2.9849999999999999</v>
      </c>
      <c r="M222" s="12">
        <f t="shared" si="9"/>
        <v>14.924999999999999</v>
      </c>
      <c r="N222" s="10" t="str">
        <f t="shared" si="10"/>
        <v>Robusta</v>
      </c>
      <c r="O222" s="10" t="str">
        <f t="shared" si="11"/>
        <v>Medium</v>
      </c>
      <c r="P222" s="10" t="str">
        <f>_xlfn.XLOOKUP(Tableau1[[#This Row],[Customer ID]],customers!A$2:A$1001,customers!I$2:I$1001)</f>
        <v>No</v>
      </c>
    </row>
    <row r="223" spans="1:16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9" t="str">
        <f>_xlfn.XLOOKUP(orders!C223,customers!$A$2:$A$1001,customers!$B$2:$B$1001)</f>
        <v>Lenka Rushmer</v>
      </c>
      <c r="G223" s="9" t="str">
        <f>IF(_xlfn.XLOOKUP(orders!C223,customers!$A$2:$A$1001,customers!$C$2:$C$1001,,,)=0,"",_xlfn.XLOOKUP(orders!C223,customers!$A$2:$A$1001,customers!$C$2:$C$1001,,,))</f>
        <v>lrushmer65@europa.eu</v>
      </c>
      <c r="H223" s="9" t="str">
        <f>_xlfn.XLOOKUP(C223,customers!$A$2:$A$1001,customers!$G$2:$G$1001,"")</f>
        <v>United States</v>
      </c>
      <c r="I223" s="10" t="str">
        <f>INDEX(products!$A$2:$G$49,MATCH(orders!$D223,products!$A$2:$A$49,0),MATCH(orders!I$1,products!$A$1:$G$1,0))</f>
        <v>Ara</v>
      </c>
      <c r="J223" s="10" t="str">
        <f>INDEX(products!$A$2:$G$49,MATCH(orders!$D223,products!$A$2:$A$49,0),MATCH(orders!J$1,products!$A$1:$G$1,0))</f>
        <v>L</v>
      </c>
      <c r="K223" s="11">
        <f>INDEX(products!$A$2:$G$49,MATCH(orders!$D223,products!$A$2:$A$49,0),MATCH(orders!K$1,products!$A$1:$G$1,0))</f>
        <v>1</v>
      </c>
      <c r="L223" s="12">
        <f>INDEX(products!$A$2:$G$49,MATCH(orders!$D223,products!$A$2:$A$49,0),MATCH(orders!L$1,products!$A$1:$G$1,0))</f>
        <v>12.95</v>
      </c>
      <c r="M223" s="12">
        <f t="shared" si="9"/>
        <v>77.699999999999989</v>
      </c>
      <c r="N223" s="10" t="str">
        <f t="shared" si="10"/>
        <v>Arabica</v>
      </c>
      <c r="O223" s="10" t="str">
        <f t="shared" si="11"/>
        <v>Light</v>
      </c>
      <c r="P223" s="10" t="str">
        <f>_xlfn.XLOOKUP(Tableau1[[#This Row],[Customer ID]],customers!A$2:A$1001,customers!I$2:I$1001)</f>
        <v>Yes</v>
      </c>
    </row>
    <row r="224" spans="1:16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9" t="str">
        <f>_xlfn.XLOOKUP(orders!C224,customers!$A$2:$A$1001,customers!$B$2:$B$1001)</f>
        <v>Waneta Edinborough</v>
      </c>
      <c r="G224" s="9" t="str">
        <f>IF(_xlfn.XLOOKUP(orders!C224,customers!$A$2:$A$1001,customers!$C$2:$C$1001,,,)=0,"",_xlfn.XLOOKUP(orders!C224,customers!$A$2:$A$1001,customers!$C$2:$C$1001,,,))</f>
        <v>wedinborough66@github.io</v>
      </c>
      <c r="H224" s="9" t="str">
        <f>_xlfn.XLOOKUP(C224,customers!$A$2:$A$1001,customers!$G$2:$G$1001,"")</f>
        <v>United States</v>
      </c>
      <c r="I224" s="10" t="str">
        <f>INDEX(products!$A$2:$G$49,MATCH(orders!$D224,products!$A$2:$A$49,0),MATCH(orders!I$1,products!$A$1:$G$1,0))</f>
        <v>Lib</v>
      </c>
      <c r="J224" s="10" t="str">
        <f>INDEX(products!$A$2:$G$49,MATCH(orders!$D224,products!$A$2:$A$49,0),MATCH(orders!J$1,products!$A$1:$G$1,0))</f>
        <v>D</v>
      </c>
      <c r="K224" s="11">
        <f>INDEX(products!$A$2:$G$49,MATCH(orders!$D224,products!$A$2:$A$49,0),MATCH(orders!K$1,products!$A$1:$G$1,0))</f>
        <v>0.5</v>
      </c>
      <c r="L224" s="12">
        <f>INDEX(products!$A$2:$G$49,MATCH(orders!$D224,products!$A$2:$A$49,0),MATCH(orders!L$1,products!$A$1:$G$1,0))</f>
        <v>7.77</v>
      </c>
      <c r="M224" s="12">
        <f t="shared" si="9"/>
        <v>23.31</v>
      </c>
      <c r="N224" s="10" t="str">
        <f t="shared" si="10"/>
        <v>Liberica</v>
      </c>
      <c r="O224" s="10" t="str">
        <f t="shared" si="11"/>
        <v>Dark</v>
      </c>
      <c r="P224" s="10" t="str">
        <f>_xlfn.XLOOKUP(Tableau1[[#This Row],[Customer ID]],customers!A$2:A$1001,customers!I$2:I$1001)</f>
        <v>No</v>
      </c>
    </row>
    <row r="225" spans="1:16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9" t="str">
        <f>_xlfn.XLOOKUP(orders!C225,customers!$A$2:$A$1001,customers!$B$2:$B$1001)</f>
        <v>Bobbe Piggott</v>
      </c>
      <c r="G225" s="9" t="str">
        <f>IF(_xlfn.XLOOKUP(orders!C225,customers!$A$2:$A$1001,customers!$C$2:$C$1001,,,)=0,"",_xlfn.XLOOKUP(orders!C225,customers!$A$2:$A$1001,customers!$C$2:$C$1001,,,))</f>
        <v/>
      </c>
      <c r="H225" s="9" t="str">
        <f>_xlfn.XLOOKUP(C225,customers!$A$2:$A$1001,customers!$G$2:$G$1001,"")</f>
        <v>United States</v>
      </c>
      <c r="I225" s="10" t="str">
        <f>INDEX(products!$A$2:$G$49,MATCH(orders!$D225,products!$A$2:$A$49,0),MATCH(orders!I$1,products!$A$1:$G$1,0))</f>
        <v>Exc</v>
      </c>
      <c r="J225" s="10" t="str">
        <f>INDEX(products!$A$2:$G$49,MATCH(orders!$D225,products!$A$2:$A$49,0),MATCH(orders!J$1,products!$A$1:$G$1,0))</f>
        <v>L</v>
      </c>
      <c r="K225" s="11">
        <f>INDEX(products!$A$2:$G$49,MATCH(orders!$D225,products!$A$2:$A$49,0),MATCH(orders!K$1,products!$A$1:$G$1,0))</f>
        <v>1</v>
      </c>
      <c r="L225" s="12">
        <f>INDEX(products!$A$2:$G$49,MATCH(orders!$D225,products!$A$2:$A$49,0),MATCH(orders!L$1,products!$A$1:$G$1,0))</f>
        <v>14.85</v>
      </c>
      <c r="M225" s="12">
        <f t="shared" si="9"/>
        <v>59.4</v>
      </c>
      <c r="N225" s="10" t="str">
        <f t="shared" si="10"/>
        <v>Excelsa</v>
      </c>
      <c r="O225" s="10" t="str">
        <f t="shared" si="11"/>
        <v>Light</v>
      </c>
      <c r="P225" s="10" t="str">
        <f>_xlfn.XLOOKUP(Tableau1[[#This Row],[Customer ID]],customers!A$2:A$1001,customers!I$2:I$1001)</f>
        <v>Yes</v>
      </c>
    </row>
    <row r="226" spans="1:16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9" t="str">
        <f>_xlfn.XLOOKUP(orders!C226,customers!$A$2:$A$1001,customers!$B$2:$B$1001)</f>
        <v>Ketty Bromehead</v>
      </c>
      <c r="G226" s="9" t="str">
        <f>IF(_xlfn.XLOOKUP(orders!C226,customers!$A$2:$A$1001,customers!$C$2:$C$1001,,,)=0,"",_xlfn.XLOOKUP(orders!C226,customers!$A$2:$A$1001,customers!$C$2:$C$1001,,,))</f>
        <v>kbromehead68@un.org</v>
      </c>
      <c r="H226" s="9" t="str">
        <f>_xlfn.XLOOKUP(C226,customers!$A$2:$A$1001,customers!$G$2:$G$1001,"")</f>
        <v>United States</v>
      </c>
      <c r="I226" s="10" t="str">
        <f>INDEX(products!$A$2:$G$49,MATCH(orders!$D226,products!$A$2:$A$49,0),MATCH(orders!I$1,products!$A$1:$G$1,0))</f>
        <v>Lib</v>
      </c>
      <c r="J226" s="10" t="str">
        <f>INDEX(products!$A$2:$G$49,MATCH(orders!$D226,products!$A$2:$A$49,0),MATCH(orders!J$1,products!$A$1:$G$1,0))</f>
        <v>D</v>
      </c>
      <c r="K226" s="11">
        <f>INDEX(products!$A$2:$G$49,MATCH(orders!$D226,products!$A$2:$A$49,0),MATCH(orders!K$1,products!$A$1:$G$1,0))</f>
        <v>2.5</v>
      </c>
      <c r="L226" s="12">
        <f>INDEX(products!$A$2:$G$49,MATCH(orders!$D226,products!$A$2:$A$49,0),MATCH(orders!L$1,products!$A$1:$G$1,0))</f>
        <v>29.784999999999997</v>
      </c>
      <c r="M226" s="12">
        <f t="shared" si="9"/>
        <v>119.13999999999999</v>
      </c>
      <c r="N226" s="10" t="str">
        <f t="shared" si="10"/>
        <v>Liberica</v>
      </c>
      <c r="O226" s="10" t="str">
        <f t="shared" si="11"/>
        <v>Dark</v>
      </c>
      <c r="P226" s="10" t="str">
        <f>_xlfn.XLOOKUP(Tableau1[[#This Row],[Customer ID]],customers!A$2:A$1001,customers!I$2:I$1001)</f>
        <v>Yes</v>
      </c>
    </row>
    <row r="227" spans="1:16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9" t="str">
        <f>_xlfn.XLOOKUP(orders!C227,customers!$A$2:$A$1001,customers!$B$2:$B$1001)</f>
        <v>Elsbeth Westerman</v>
      </c>
      <c r="G227" s="9" t="str">
        <f>IF(_xlfn.XLOOKUP(orders!C227,customers!$A$2:$A$1001,customers!$C$2:$C$1001,,,)=0,"",_xlfn.XLOOKUP(orders!C227,customers!$A$2:$A$1001,customers!$C$2:$C$1001,,,))</f>
        <v>ewesterman69@si.edu</v>
      </c>
      <c r="H227" s="9" t="str">
        <f>_xlfn.XLOOKUP(C227,customers!$A$2:$A$1001,customers!$G$2:$G$1001,"")</f>
        <v>Ireland</v>
      </c>
      <c r="I227" s="10" t="str">
        <f>INDEX(products!$A$2:$G$49,MATCH(orders!$D227,products!$A$2:$A$49,0),MATCH(orders!I$1,products!$A$1:$G$1,0))</f>
        <v>Rob</v>
      </c>
      <c r="J227" s="10" t="str">
        <f>INDEX(products!$A$2:$G$49,MATCH(orders!$D227,products!$A$2:$A$49,0),MATCH(orders!J$1,products!$A$1:$G$1,0))</f>
        <v>L</v>
      </c>
      <c r="K227" s="11">
        <f>INDEX(products!$A$2:$G$49,MATCH(orders!$D227,products!$A$2:$A$49,0),MATCH(orders!K$1,products!$A$1:$G$1,0))</f>
        <v>0.2</v>
      </c>
      <c r="L227" s="12">
        <f>INDEX(products!$A$2:$G$49,MATCH(orders!$D227,products!$A$2:$A$49,0),MATCH(orders!L$1,products!$A$1:$G$1,0))</f>
        <v>3.5849999999999995</v>
      </c>
      <c r="M227" s="12">
        <f t="shared" si="9"/>
        <v>14.339999999999998</v>
      </c>
      <c r="N227" s="10" t="str">
        <f t="shared" si="10"/>
        <v>Robusta</v>
      </c>
      <c r="O227" s="10" t="str">
        <f t="shared" si="11"/>
        <v>Light</v>
      </c>
      <c r="P227" s="10" t="str">
        <f>_xlfn.XLOOKUP(Tableau1[[#This Row],[Customer ID]],customers!A$2:A$1001,customers!I$2:I$1001)</f>
        <v>No</v>
      </c>
    </row>
    <row r="228" spans="1:16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9" t="str">
        <f>_xlfn.XLOOKUP(orders!C228,customers!$A$2:$A$1001,customers!$B$2:$B$1001)</f>
        <v>Anabelle Hutchens</v>
      </c>
      <c r="G228" s="9" t="str">
        <f>IF(_xlfn.XLOOKUP(orders!C228,customers!$A$2:$A$1001,customers!$C$2:$C$1001,,,)=0,"",_xlfn.XLOOKUP(orders!C228,customers!$A$2:$A$1001,customers!$C$2:$C$1001,,,))</f>
        <v>ahutchens6a@amazonaws.com</v>
      </c>
      <c r="H228" s="9" t="str">
        <f>_xlfn.XLOOKUP(C228,customers!$A$2:$A$1001,customers!$G$2:$G$1001,"")</f>
        <v>United States</v>
      </c>
      <c r="I228" s="10" t="str">
        <f>INDEX(products!$A$2:$G$49,MATCH(orders!$D228,products!$A$2:$A$49,0),MATCH(orders!I$1,products!$A$1:$G$1,0))</f>
        <v>Ara</v>
      </c>
      <c r="J228" s="10" t="str">
        <f>INDEX(products!$A$2:$G$49,MATCH(orders!$D228,products!$A$2:$A$49,0),MATCH(orders!J$1,products!$A$1:$G$1,0))</f>
        <v>M</v>
      </c>
      <c r="K228" s="11">
        <f>INDEX(products!$A$2:$G$49,MATCH(orders!$D228,products!$A$2:$A$49,0),MATCH(orders!K$1,products!$A$1:$G$1,0))</f>
        <v>2.5</v>
      </c>
      <c r="L228" s="12">
        <f>INDEX(products!$A$2:$G$49,MATCH(orders!$D228,products!$A$2:$A$49,0),MATCH(orders!L$1,products!$A$1:$G$1,0))</f>
        <v>25.874999999999996</v>
      </c>
      <c r="M228" s="12">
        <f t="shared" si="9"/>
        <v>129.37499999999997</v>
      </c>
      <c r="N228" s="10" t="str">
        <f t="shared" si="10"/>
        <v>Arabica</v>
      </c>
      <c r="O228" s="10" t="str">
        <f t="shared" si="11"/>
        <v>Medium</v>
      </c>
      <c r="P228" s="10" t="str">
        <f>_xlfn.XLOOKUP(Tableau1[[#This Row],[Customer ID]],customers!A$2:A$1001,customers!I$2:I$1001)</f>
        <v>No</v>
      </c>
    </row>
    <row r="229" spans="1:16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9" t="str">
        <f>_xlfn.XLOOKUP(orders!C229,customers!$A$2:$A$1001,customers!$B$2:$B$1001)</f>
        <v>Noak Wyvill</v>
      </c>
      <c r="G229" s="9" t="str">
        <f>IF(_xlfn.XLOOKUP(orders!C229,customers!$A$2:$A$1001,customers!$C$2:$C$1001,,,)=0,"",_xlfn.XLOOKUP(orders!C229,customers!$A$2:$A$1001,customers!$C$2:$C$1001,,,))</f>
        <v>nwyvill6b@naver.com</v>
      </c>
      <c r="H229" s="9" t="str">
        <f>_xlfn.XLOOKUP(C229,customers!$A$2:$A$1001,customers!$G$2:$G$1001,"")</f>
        <v>United Kingdom</v>
      </c>
      <c r="I229" s="10" t="str">
        <f>INDEX(products!$A$2:$G$49,MATCH(orders!$D229,products!$A$2:$A$49,0),MATCH(orders!I$1,products!$A$1:$G$1,0))</f>
        <v>Rob</v>
      </c>
      <c r="J229" s="10" t="str">
        <f>INDEX(products!$A$2:$G$49,MATCH(orders!$D229,products!$A$2:$A$49,0),MATCH(orders!J$1,products!$A$1:$G$1,0))</f>
        <v>D</v>
      </c>
      <c r="K229" s="11">
        <f>INDEX(products!$A$2:$G$49,MATCH(orders!$D229,products!$A$2:$A$49,0),MATCH(orders!K$1,products!$A$1:$G$1,0))</f>
        <v>0.2</v>
      </c>
      <c r="L229" s="12">
        <f>INDEX(products!$A$2:$G$49,MATCH(orders!$D229,products!$A$2:$A$49,0),MATCH(orders!L$1,products!$A$1:$G$1,0))</f>
        <v>2.6849999999999996</v>
      </c>
      <c r="M229" s="12">
        <f t="shared" si="9"/>
        <v>16.11</v>
      </c>
      <c r="N229" s="10" t="str">
        <f t="shared" si="10"/>
        <v>Robusta</v>
      </c>
      <c r="O229" s="10" t="str">
        <f t="shared" si="11"/>
        <v>Dark</v>
      </c>
      <c r="P229" s="10" t="str">
        <f>_xlfn.XLOOKUP(Tableau1[[#This Row],[Customer ID]],customers!A$2:A$1001,customers!I$2:I$1001)</f>
        <v>Yes</v>
      </c>
    </row>
    <row r="230" spans="1:16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9" t="str">
        <f>_xlfn.XLOOKUP(orders!C230,customers!$A$2:$A$1001,customers!$B$2:$B$1001)</f>
        <v>Beltran Mathon</v>
      </c>
      <c r="G230" s="9" t="str">
        <f>IF(_xlfn.XLOOKUP(orders!C230,customers!$A$2:$A$1001,customers!$C$2:$C$1001,,,)=0,"",_xlfn.XLOOKUP(orders!C230,customers!$A$2:$A$1001,customers!$C$2:$C$1001,,,))</f>
        <v>bmathon6c@barnesandnoble.com</v>
      </c>
      <c r="H230" s="9" t="str">
        <f>_xlfn.XLOOKUP(C230,customers!$A$2:$A$1001,customers!$G$2:$G$1001,"")</f>
        <v>United States</v>
      </c>
      <c r="I230" s="10" t="str">
        <f>INDEX(products!$A$2:$G$49,MATCH(orders!$D230,products!$A$2:$A$49,0),MATCH(orders!I$1,products!$A$1:$G$1,0))</f>
        <v>Rob</v>
      </c>
      <c r="J230" s="10" t="str">
        <f>INDEX(products!$A$2:$G$49,MATCH(orders!$D230,products!$A$2:$A$49,0),MATCH(orders!J$1,products!$A$1:$G$1,0))</f>
        <v>L</v>
      </c>
      <c r="K230" s="11">
        <f>INDEX(products!$A$2:$G$49,MATCH(orders!$D230,products!$A$2:$A$49,0),MATCH(orders!K$1,products!$A$1:$G$1,0))</f>
        <v>0.2</v>
      </c>
      <c r="L230" s="12">
        <f>INDEX(products!$A$2:$G$49,MATCH(orders!$D230,products!$A$2:$A$49,0),MATCH(orders!L$1,products!$A$1:$G$1,0))</f>
        <v>3.5849999999999995</v>
      </c>
      <c r="M230" s="12">
        <f t="shared" si="9"/>
        <v>17.924999999999997</v>
      </c>
      <c r="N230" s="10" t="str">
        <f t="shared" si="10"/>
        <v>Robusta</v>
      </c>
      <c r="O230" s="10" t="str">
        <f t="shared" si="11"/>
        <v>Light</v>
      </c>
      <c r="P230" s="10" t="str">
        <f>_xlfn.XLOOKUP(Tableau1[[#This Row],[Customer ID]],customers!A$2:A$1001,customers!I$2:I$1001)</f>
        <v>No</v>
      </c>
    </row>
    <row r="231" spans="1:16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9" t="str">
        <f>_xlfn.XLOOKUP(orders!C231,customers!$A$2:$A$1001,customers!$B$2:$B$1001)</f>
        <v>Kristos Streight</v>
      </c>
      <c r="G231" s="9" t="str">
        <f>IF(_xlfn.XLOOKUP(orders!C231,customers!$A$2:$A$1001,customers!$C$2:$C$1001,,,)=0,"",_xlfn.XLOOKUP(orders!C231,customers!$A$2:$A$1001,customers!$C$2:$C$1001,,,))</f>
        <v>kstreight6d@about.com</v>
      </c>
      <c r="H231" s="9" t="str">
        <f>_xlfn.XLOOKUP(C231,customers!$A$2:$A$1001,customers!$G$2:$G$1001,"")</f>
        <v>United States</v>
      </c>
      <c r="I231" s="10" t="str">
        <f>INDEX(products!$A$2:$G$49,MATCH(orders!$D231,products!$A$2:$A$49,0),MATCH(orders!I$1,products!$A$1:$G$1,0))</f>
        <v>Lib</v>
      </c>
      <c r="J231" s="10" t="str">
        <f>INDEX(products!$A$2:$G$49,MATCH(orders!$D231,products!$A$2:$A$49,0),MATCH(orders!J$1,products!$A$1:$G$1,0))</f>
        <v>M</v>
      </c>
      <c r="K231" s="11">
        <f>INDEX(products!$A$2:$G$49,MATCH(orders!$D231,products!$A$2:$A$49,0),MATCH(orders!K$1,products!$A$1:$G$1,0))</f>
        <v>0.2</v>
      </c>
      <c r="L231" s="12">
        <f>INDEX(products!$A$2:$G$49,MATCH(orders!$D231,products!$A$2:$A$49,0),MATCH(orders!L$1,products!$A$1:$G$1,0))</f>
        <v>4.3650000000000002</v>
      </c>
      <c r="M231" s="12">
        <f t="shared" si="9"/>
        <v>8.73</v>
      </c>
      <c r="N231" s="10" t="str">
        <f t="shared" si="10"/>
        <v>Liberica</v>
      </c>
      <c r="O231" s="10" t="str">
        <f t="shared" si="11"/>
        <v>Medium</v>
      </c>
      <c r="P231" s="10" t="str">
        <f>_xlfn.XLOOKUP(Tableau1[[#This Row],[Customer ID]],customers!A$2:A$1001,customers!I$2:I$1001)</f>
        <v>No</v>
      </c>
    </row>
    <row r="232" spans="1:16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9" t="str">
        <f>_xlfn.XLOOKUP(orders!C232,customers!$A$2:$A$1001,customers!$B$2:$B$1001)</f>
        <v>Portie Cutchie</v>
      </c>
      <c r="G232" s="9" t="str">
        <f>IF(_xlfn.XLOOKUP(orders!C232,customers!$A$2:$A$1001,customers!$C$2:$C$1001,,,)=0,"",_xlfn.XLOOKUP(orders!C232,customers!$A$2:$A$1001,customers!$C$2:$C$1001,,,))</f>
        <v>pcutchie6e@globo.com</v>
      </c>
      <c r="H232" s="9" t="str">
        <f>_xlfn.XLOOKUP(C232,customers!$A$2:$A$1001,customers!$G$2:$G$1001,"")</f>
        <v>United States</v>
      </c>
      <c r="I232" s="10" t="str">
        <f>INDEX(products!$A$2:$G$49,MATCH(orders!$D232,products!$A$2:$A$49,0),MATCH(orders!I$1,products!$A$1:$G$1,0))</f>
        <v>Ara</v>
      </c>
      <c r="J232" s="10" t="str">
        <f>INDEX(products!$A$2:$G$49,MATCH(orders!$D232,products!$A$2:$A$49,0),MATCH(orders!J$1,products!$A$1:$G$1,0))</f>
        <v>M</v>
      </c>
      <c r="K232" s="11">
        <f>INDEX(products!$A$2:$G$49,MATCH(orders!$D232,products!$A$2:$A$49,0),MATCH(orders!K$1,products!$A$1:$G$1,0))</f>
        <v>2.5</v>
      </c>
      <c r="L232" s="12">
        <f>INDEX(products!$A$2:$G$49,MATCH(orders!$D232,products!$A$2:$A$49,0),MATCH(orders!L$1,products!$A$1:$G$1,0))</f>
        <v>25.874999999999996</v>
      </c>
      <c r="M232" s="12">
        <f t="shared" si="9"/>
        <v>51.749999999999993</v>
      </c>
      <c r="N232" s="10" t="str">
        <f t="shared" si="10"/>
        <v>Arabica</v>
      </c>
      <c r="O232" s="10" t="str">
        <f t="shared" si="11"/>
        <v>Medium</v>
      </c>
      <c r="P232" s="10" t="str">
        <f>_xlfn.XLOOKUP(Tableau1[[#This Row],[Customer ID]],customers!A$2:A$1001,customers!I$2:I$1001)</f>
        <v>No</v>
      </c>
    </row>
    <row r="233" spans="1:16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9" t="str">
        <f>_xlfn.XLOOKUP(orders!C233,customers!$A$2:$A$1001,customers!$B$2:$B$1001)</f>
        <v>Sinclare Edsell</v>
      </c>
      <c r="G233" s="9" t="str">
        <f>IF(_xlfn.XLOOKUP(orders!C233,customers!$A$2:$A$1001,customers!$C$2:$C$1001,,,)=0,"",_xlfn.XLOOKUP(orders!C233,customers!$A$2:$A$1001,customers!$C$2:$C$1001,,,))</f>
        <v/>
      </c>
      <c r="H233" s="9" t="str">
        <f>_xlfn.XLOOKUP(C233,customers!$A$2:$A$1001,customers!$G$2:$G$1001,"")</f>
        <v>United States</v>
      </c>
      <c r="I233" s="10" t="str">
        <f>INDEX(products!$A$2:$G$49,MATCH(orders!$D233,products!$A$2:$A$49,0),MATCH(orders!I$1,products!$A$1:$G$1,0))</f>
        <v>Lib</v>
      </c>
      <c r="J233" s="10" t="str">
        <f>INDEX(products!$A$2:$G$49,MATCH(orders!$D233,products!$A$2:$A$49,0),MATCH(orders!J$1,products!$A$1:$G$1,0))</f>
        <v>M</v>
      </c>
      <c r="K233" s="11">
        <f>INDEX(products!$A$2:$G$49,MATCH(orders!$D233,products!$A$2:$A$49,0),MATCH(orders!K$1,products!$A$1:$G$1,0))</f>
        <v>0.2</v>
      </c>
      <c r="L233" s="12">
        <f>INDEX(products!$A$2:$G$49,MATCH(orders!$D233,products!$A$2:$A$49,0),MATCH(orders!L$1,products!$A$1:$G$1,0))</f>
        <v>4.3650000000000002</v>
      </c>
      <c r="M233" s="12">
        <f t="shared" si="9"/>
        <v>8.73</v>
      </c>
      <c r="N233" s="10" t="str">
        <f t="shared" si="10"/>
        <v>Liberica</v>
      </c>
      <c r="O233" s="10" t="str">
        <f t="shared" si="11"/>
        <v>Medium</v>
      </c>
      <c r="P233" s="10" t="str">
        <f>_xlfn.XLOOKUP(Tableau1[[#This Row],[Customer ID]],customers!A$2:A$1001,customers!I$2:I$1001)</f>
        <v>Yes</v>
      </c>
    </row>
    <row r="234" spans="1:16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9" t="str">
        <f>_xlfn.XLOOKUP(orders!C234,customers!$A$2:$A$1001,customers!$B$2:$B$1001)</f>
        <v>Conny Gheraldi</v>
      </c>
      <c r="G234" s="9" t="str">
        <f>IF(_xlfn.XLOOKUP(orders!C234,customers!$A$2:$A$1001,customers!$C$2:$C$1001,,,)=0,"",_xlfn.XLOOKUP(orders!C234,customers!$A$2:$A$1001,customers!$C$2:$C$1001,,,))</f>
        <v>cgheraldi6g@opera.com</v>
      </c>
      <c r="H234" s="9" t="str">
        <f>_xlfn.XLOOKUP(C234,customers!$A$2:$A$1001,customers!$G$2:$G$1001,"")</f>
        <v>United Kingdom</v>
      </c>
      <c r="I234" s="10" t="str">
        <f>INDEX(products!$A$2:$G$49,MATCH(orders!$D234,products!$A$2:$A$49,0),MATCH(orders!I$1,products!$A$1:$G$1,0))</f>
        <v>Lib</v>
      </c>
      <c r="J234" s="10" t="str">
        <f>INDEX(products!$A$2:$G$49,MATCH(orders!$D234,products!$A$2:$A$49,0),MATCH(orders!J$1,products!$A$1:$G$1,0))</f>
        <v>L</v>
      </c>
      <c r="K234" s="11">
        <f>INDEX(products!$A$2:$G$49,MATCH(orders!$D234,products!$A$2:$A$49,0),MATCH(orders!K$1,products!$A$1:$G$1,0))</f>
        <v>0.2</v>
      </c>
      <c r="L234" s="12">
        <f>INDEX(products!$A$2:$G$49,MATCH(orders!$D234,products!$A$2:$A$49,0),MATCH(orders!L$1,products!$A$1:$G$1,0))</f>
        <v>4.7549999999999999</v>
      </c>
      <c r="M234" s="12">
        <f t="shared" si="9"/>
        <v>23.774999999999999</v>
      </c>
      <c r="N234" s="10" t="str">
        <f t="shared" si="10"/>
        <v>Liberica</v>
      </c>
      <c r="O234" s="10" t="str">
        <f t="shared" si="11"/>
        <v>Light</v>
      </c>
      <c r="P234" s="10" t="str">
        <f>_xlfn.XLOOKUP(Tableau1[[#This Row],[Customer ID]],customers!A$2:A$1001,customers!I$2:I$1001)</f>
        <v>No</v>
      </c>
    </row>
    <row r="235" spans="1:16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9" t="str">
        <f>_xlfn.XLOOKUP(orders!C235,customers!$A$2:$A$1001,customers!$B$2:$B$1001)</f>
        <v>Beryle Kenwell</v>
      </c>
      <c r="G235" s="9" t="str">
        <f>IF(_xlfn.XLOOKUP(orders!C235,customers!$A$2:$A$1001,customers!$C$2:$C$1001,,,)=0,"",_xlfn.XLOOKUP(orders!C235,customers!$A$2:$A$1001,customers!$C$2:$C$1001,,,))</f>
        <v>bkenwell6h@over-blog.com</v>
      </c>
      <c r="H235" s="9" t="str">
        <f>_xlfn.XLOOKUP(C235,customers!$A$2:$A$1001,customers!$G$2:$G$1001,"")</f>
        <v>United States</v>
      </c>
      <c r="I235" s="10" t="str">
        <f>INDEX(products!$A$2:$G$49,MATCH(orders!$D235,products!$A$2:$A$49,0),MATCH(orders!I$1,products!$A$1:$G$1,0))</f>
        <v>Exc</v>
      </c>
      <c r="J235" s="10" t="str">
        <f>INDEX(products!$A$2:$G$49,MATCH(orders!$D235,products!$A$2:$A$49,0),MATCH(orders!J$1,products!$A$1:$G$1,0))</f>
        <v>M</v>
      </c>
      <c r="K235" s="11">
        <f>INDEX(products!$A$2:$G$49,MATCH(orders!$D235,products!$A$2:$A$49,0),MATCH(orders!K$1,products!$A$1:$G$1,0))</f>
        <v>0.2</v>
      </c>
      <c r="L235" s="12">
        <f>INDEX(products!$A$2:$G$49,MATCH(orders!$D235,products!$A$2:$A$49,0),MATCH(orders!L$1,products!$A$1:$G$1,0))</f>
        <v>4.125</v>
      </c>
      <c r="M235" s="12">
        <f t="shared" si="9"/>
        <v>20.625</v>
      </c>
      <c r="N235" s="10" t="str">
        <f t="shared" si="10"/>
        <v>Excelsa</v>
      </c>
      <c r="O235" s="10" t="str">
        <f t="shared" si="11"/>
        <v>Medium</v>
      </c>
      <c r="P235" s="10" t="str">
        <f>_xlfn.XLOOKUP(Tableau1[[#This Row],[Customer ID]],customers!A$2:A$1001,customers!I$2:I$1001)</f>
        <v>No</v>
      </c>
    </row>
    <row r="236" spans="1:16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9" t="str">
        <f>_xlfn.XLOOKUP(orders!C236,customers!$A$2:$A$1001,customers!$B$2:$B$1001)</f>
        <v>Tomas Sutty</v>
      </c>
      <c r="G236" s="9" t="str">
        <f>IF(_xlfn.XLOOKUP(orders!C236,customers!$A$2:$A$1001,customers!$C$2:$C$1001,,,)=0,"",_xlfn.XLOOKUP(orders!C236,customers!$A$2:$A$1001,customers!$C$2:$C$1001,,,))</f>
        <v>tsutty6i@google.es</v>
      </c>
      <c r="H236" s="9" t="str">
        <f>_xlfn.XLOOKUP(C236,customers!$A$2:$A$1001,customers!$G$2:$G$1001,"")</f>
        <v>United States</v>
      </c>
      <c r="I236" s="10" t="str">
        <f>INDEX(products!$A$2:$G$49,MATCH(orders!$D236,products!$A$2:$A$49,0),MATCH(orders!I$1,products!$A$1:$G$1,0))</f>
        <v>Lib</v>
      </c>
      <c r="J236" s="10" t="str">
        <f>INDEX(products!$A$2:$G$49,MATCH(orders!$D236,products!$A$2:$A$49,0),MATCH(orders!J$1,products!$A$1:$G$1,0))</f>
        <v>L</v>
      </c>
      <c r="K236" s="11">
        <f>INDEX(products!$A$2:$G$49,MATCH(orders!$D236,products!$A$2:$A$49,0),MATCH(orders!K$1,products!$A$1:$G$1,0))</f>
        <v>2.5</v>
      </c>
      <c r="L236" s="12">
        <f>INDEX(products!$A$2:$G$49,MATCH(orders!$D236,products!$A$2:$A$49,0),MATCH(orders!L$1,products!$A$1:$G$1,0))</f>
        <v>36.454999999999998</v>
      </c>
      <c r="M236" s="12">
        <f t="shared" si="9"/>
        <v>36.454999999999998</v>
      </c>
      <c r="N236" s="10" t="str">
        <f t="shared" si="10"/>
        <v>Liberica</v>
      </c>
      <c r="O236" s="10" t="str">
        <f t="shared" si="11"/>
        <v>Light</v>
      </c>
      <c r="P236" s="10" t="str">
        <f>_xlfn.XLOOKUP(Tableau1[[#This Row],[Customer ID]],customers!A$2:A$1001,customers!I$2:I$1001)</f>
        <v>No</v>
      </c>
    </row>
    <row r="237" spans="1:16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9" t="str">
        <f>_xlfn.XLOOKUP(orders!C237,customers!$A$2:$A$1001,customers!$B$2:$B$1001)</f>
        <v>Samuele Ales0</v>
      </c>
      <c r="G237" s="9" t="str">
        <f>IF(_xlfn.XLOOKUP(orders!C237,customers!$A$2:$A$1001,customers!$C$2:$C$1001,,,)=0,"",_xlfn.XLOOKUP(orders!C237,customers!$A$2:$A$1001,customers!$C$2:$C$1001,,,))</f>
        <v/>
      </c>
      <c r="H237" s="9" t="str">
        <f>_xlfn.XLOOKUP(C237,customers!$A$2:$A$1001,customers!$G$2:$G$1001,"")</f>
        <v>Ireland</v>
      </c>
      <c r="I237" s="10" t="str">
        <f>INDEX(products!$A$2:$G$49,MATCH(orders!$D237,products!$A$2:$A$49,0),MATCH(orders!I$1,products!$A$1:$G$1,0))</f>
        <v>Lib</v>
      </c>
      <c r="J237" s="10" t="str">
        <f>INDEX(products!$A$2:$G$49,MATCH(orders!$D237,products!$A$2:$A$49,0),MATCH(orders!J$1,products!$A$1:$G$1,0))</f>
        <v>L</v>
      </c>
      <c r="K237" s="11">
        <f>INDEX(products!$A$2:$G$49,MATCH(orders!$D237,products!$A$2:$A$49,0),MATCH(orders!K$1,products!$A$1:$G$1,0))</f>
        <v>2.5</v>
      </c>
      <c r="L237" s="12">
        <f>INDEX(products!$A$2:$G$49,MATCH(orders!$D237,products!$A$2:$A$49,0),MATCH(orders!L$1,products!$A$1:$G$1,0))</f>
        <v>36.454999999999998</v>
      </c>
      <c r="M237" s="12">
        <f t="shared" si="9"/>
        <v>182.27499999999998</v>
      </c>
      <c r="N237" s="10" t="str">
        <f t="shared" si="10"/>
        <v>Liberica</v>
      </c>
      <c r="O237" s="10" t="str">
        <f t="shared" si="11"/>
        <v>Light</v>
      </c>
      <c r="P237" s="10" t="str">
        <f>_xlfn.XLOOKUP(Tableau1[[#This Row],[Customer ID]],customers!A$2:A$1001,customers!I$2:I$1001)</f>
        <v>No</v>
      </c>
    </row>
    <row r="238" spans="1:16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9" t="str">
        <f>_xlfn.XLOOKUP(orders!C238,customers!$A$2:$A$1001,customers!$B$2:$B$1001)</f>
        <v>Carlie Harce</v>
      </c>
      <c r="G238" s="9" t="str">
        <f>IF(_xlfn.XLOOKUP(orders!C238,customers!$A$2:$A$1001,customers!$C$2:$C$1001,,,)=0,"",_xlfn.XLOOKUP(orders!C238,customers!$A$2:$A$1001,customers!$C$2:$C$1001,,,))</f>
        <v>charce6k@cafepress.com</v>
      </c>
      <c r="H238" s="9" t="str">
        <f>_xlfn.XLOOKUP(C238,customers!$A$2:$A$1001,customers!$G$2:$G$1001,"")</f>
        <v>Ireland</v>
      </c>
      <c r="I238" s="10" t="str">
        <f>INDEX(products!$A$2:$G$49,MATCH(orders!$D238,products!$A$2:$A$49,0),MATCH(orders!I$1,products!$A$1:$G$1,0))</f>
        <v>Lib</v>
      </c>
      <c r="J238" s="10" t="str">
        <f>INDEX(products!$A$2:$G$49,MATCH(orders!$D238,products!$A$2:$A$49,0),MATCH(orders!J$1,products!$A$1:$G$1,0))</f>
        <v>D</v>
      </c>
      <c r="K238" s="11">
        <f>INDEX(products!$A$2:$G$49,MATCH(orders!$D238,products!$A$2:$A$49,0),MATCH(orders!K$1,products!$A$1:$G$1,0))</f>
        <v>2.5</v>
      </c>
      <c r="L238" s="12">
        <f>INDEX(products!$A$2:$G$49,MATCH(orders!$D238,products!$A$2:$A$49,0),MATCH(orders!L$1,products!$A$1:$G$1,0))</f>
        <v>29.784999999999997</v>
      </c>
      <c r="M238" s="12">
        <f t="shared" si="9"/>
        <v>89.35499999999999</v>
      </c>
      <c r="N238" s="10" t="str">
        <f t="shared" si="10"/>
        <v>Liberica</v>
      </c>
      <c r="O238" s="10" t="str">
        <f t="shared" si="11"/>
        <v>Dark</v>
      </c>
      <c r="P238" s="10" t="str">
        <f>_xlfn.XLOOKUP(Tableau1[[#This Row],[Customer ID]],customers!A$2:A$1001,customers!I$2:I$1001)</f>
        <v>No</v>
      </c>
    </row>
    <row r="239" spans="1:16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9" t="str">
        <f>_xlfn.XLOOKUP(orders!C239,customers!$A$2:$A$1001,customers!$B$2:$B$1001)</f>
        <v>Craggy Bril</v>
      </c>
      <c r="G239" s="9" t="str">
        <f>IF(_xlfn.XLOOKUP(orders!C239,customers!$A$2:$A$1001,customers!$C$2:$C$1001,,,)=0,"",_xlfn.XLOOKUP(orders!C239,customers!$A$2:$A$1001,customers!$C$2:$C$1001,,,))</f>
        <v/>
      </c>
      <c r="H239" s="9" t="str">
        <f>_xlfn.XLOOKUP(C239,customers!$A$2:$A$1001,customers!$G$2:$G$1001,"")</f>
        <v>United States</v>
      </c>
      <c r="I239" s="10" t="str">
        <f>INDEX(products!$A$2:$G$49,MATCH(orders!$D239,products!$A$2:$A$49,0),MATCH(orders!I$1,products!$A$1:$G$1,0))</f>
        <v>Rob</v>
      </c>
      <c r="J239" s="10" t="str">
        <f>INDEX(products!$A$2:$G$49,MATCH(orders!$D239,products!$A$2:$A$49,0),MATCH(orders!J$1,products!$A$1:$G$1,0))</f>
        <v>L</v>
      </c>
      <c r="K239" s="11">
        <f>INDEX(products!$A$2:$G$49,MATCH(orders!$D239,products!$A$2:$A$49,0),MATCH(orders!K$1,products!$A$1:$G$1,0))</f>
        <v>0.2</v>
      </c>
      <c r="L239" s="12">
        <f>INDEX(products!$A$2:$G$49,MATCH(orders!$D239,products!$A$2:$A$49,0),MATCH(orders!L$1,products!$A$1:$G$1,0))</f>
        <v>3.5849999999999995</v>
      </c>
      <c r="M239" s="12">
        <f t="shared" si="9"/>
        <v>3.5849999999999995</v>
      </c>
      <c r="N239" s="10" t="str">
        <f t="shared" si="10"/>
        <v>Robusta</v>
      </c>
      <c r="O239" s="10" t="str">
        <f t="shared" si="11"/>
        <v>Light</v>
      </c>
      <c r="P239" s="10" t="str">
        <f>_xlfn.XLOOKUP(Tableau1[[#This Row],[Customer ID]],customers!A$2:A$1001,customers!I$2:I$1001)</f>
        <v>Yes</v>
      </c>
    </row>
    <row r="240" spans="1:16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9" t="str">
        <f>_xlfn.XLOOKUP(orders!C240,customers!$A$2:$A$1001,customers!$B$2:$B$1001)</f>
        <v>Friederike Drysdale</v>
      </c>
      <c r="G240" s="9" t="str">
        <f>IF(_xlfn.XLOOKUP(orders!C240,customers!$A$2:$A$1001,customers!$C$2:$C$1001,,,)=0,"",_xlfn.XLOOKUP(orders!C240,customers!$A$2:$A$1001,customers!$C$2:$C$1001,,,))</f>
        <v>fdrysdale6m@symantec.com</v>
      </c>
      <c r="H240" s="9" t="str">
        <f>_xlfn.XLOOKUP(C240,customers!$A$2:$A$1001,customers!$G$2:$G$1001,"")</f>
        <v>United States</v>
      </c>
      <c r="I240" s="10" t="str">
        <f>INDEX(products!$A$2:$G$49,MATCH(orders!$D240,products!$A$2:$A$49,0),MATCH(orders!I$1,products!$A$1:$G$1,0))</f>
        <v>Rob</v>
      </c>
      <c r="J240" s="10" t="str">
        <f>INDEX(products!$A$2:$G$49,MATCH(orders!$D240,products!$A$2:$A$49,0),MATCH(orders!J$1,products!$A$1:$G$1,0))</f>
        <v>M</v>
      </c>
      <c r="K240" s="11">
        <f>INDEX(products!$A$2:$G$49,MATCH(orders!$D240,products!$A$2:$A$49,0),MATCH(orders!K$1,products!$A$1:$G$1,0))</f>
        <v>2.5</v>
      </c>
      <c r="L240" s="12">
        <f>INDEX(products!$A$2:$G$49,MATCH(orders!$D240,products!$A$2:$A$49,0),MATCH(orders!L$1,products!$A$1:$G$1,0))</f>
        <v>22.884999999999998</v>
      </c>
      <c r="M240" s="12">
        <f t="shared" si="9"/>
        <v>45.769999999999996</v>
      </c>
      <c r="N240" s="10" t="str">
        <f t="shared" si="10"/>
        <v>Robusta</v>
      </c>
      <c r="O240" s="10" t="str">
        <f t="shared" si="11"/>
        <v>Medium</v>
      </c>
      <c r="P240" s="10" t="str">
        <f>_xlfn.XLOOKUP(Tableau1[[#This Row],[Customer ID]],customers!A$2:A$1001,customers!I$2:I$1001)</f>
        <v>Yes</v>
      </c>
    </row>
    <row r="241" spans="1:16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9" t="str">
        <f>_xlfn.XLOOKUP(orders!C241,customers!$A$2:$A$1001,customers!$B$2:$B$1001)</f>
        <v>Devon Magowan</v>
      </c>
      <c r="G241" s="9" t="str">
        <f>IF(_xlfn.XLOOKUP(orders!C241,customers!$A$2:$A$1001,customers!$C$2:$C$1001,,,)=0,"",_xlfn.XLOOKUP(orders!C241,customers!$A$2:$A$1001,customers!$C$2:$C$1001,,,))</f>
        <v>dmagowan6n@fc2.com</v>
      </c>
      <c r="H241" s="9" t="str">
        <f>_xlfn.XLOOKUP(C241,customers!$A$2:$A$1001,customers!$G$2:$G$1001,"")</f>
        <v>United States</v>
      </c>
      <c r="I241" s="10" t="str">
        <f>INDEX(products!$A$2:$G$49,MATCH(orders!$D241,products!$A$2:$A$49,0),MATCH(orders!I$1,products!$A$1:$G$1,0))</f>
        <v>Exc</v>
      </c>
      <c r="J241" s="10" t="str">
        <f>INDEX(products!$A$2:$G$49,MATCH(orders!$D241,products!$A$2:$A$49,0),MATCH(orders!J$1,products!$A$1:$G$1,0))</f>
        <v>L</v>
      </c>
      <c r="K241" s="11">
        <f>INDEX(products!$A$2:$G$49,MATCH(orders!$D241,products!$A$2:$A$49,0),MATCH(orders!K$1,products!$A$1:$G$1,0))</f>
        <v>1</v>
      </c>
      <c r="L241" s="12">
        <f>INDEX(products!$A$2:$G$49,MATCH(orders!$D241,products!$A$2:$A$49,0),MATCH(orders!L$1,products!$A$1:$G$1,0))</f>
        <v>14.85</v>
      </c>
      <c r="M241" s="12">
        <f t="shared" si="9"/>
        <v>59.4</v>
      </c>
      <c r="N241" s="10" t="str">
        <f t="shared" si="10"/>
        <v>Excelsa</v>
      </c>
      <c r="O241" s="10" t="str">
        <f t="shared" si="11"/>
        <v>Light</v>
      </c>
      <c r="P241" s="10" t="str">
        <f>_xlfn.XLOOKUP(Tableau1[[#This Row],[Customer ID]],customers!A$2:A$1001,customers!I$2:I$1001)</f>
        <v>No</v>
      </c>
    </row>
    <row r="242" spans="1:16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9" t="str">
        <f>_xlfn.XLOOKUP(orders!C242,customers!$A$2:$A$1001,customers!$B$2:$B$1001)</f>
        <v>Codi Littrell</v>
      </c>
      <c r="G242" s="9" t="str">
        <f>IF(_xlfn.XLOOKUP(orders!C242,customers!$A$2:$A$1001,customers!$C$2:$C$1001,,,)=0,"",_xlfn.XLOOKUP(orders!C242,customers!$A$2:$A$1001,customers!$C$2:$C$1001,,,))</f>
        <v/>
      </c>
      <c r="H242" s="9" t="str">
        <f>_xlfn.XLOOKUP(C242,customers!$A$2:$A$1001,customers!$G$2:$G$1001,"")</f>
        <v>United States</v>
      </c>
      <c r="I242" s="10" t="str">
        <f>INDEX(products!$A$2:$G$49,MATCH(orders!$D242,products!$A$2:$A$49,0),MATCH(orders!I$1,products!$A$1:$G$1,0))</f>
        <v>Ara</v>
      </c>
      <c r="J242" s="10" t="str">
        <f>INDEX(products!$A$2:$G$49,MATCH(orders!$D242,products!$A$2:$A$49,0),MATCH(orders!J$1,products!$A$1:$G$1,0))</f>
        <v>M</v>
      </c>
      <c r="K242" s="11">
        <f>INDEX(products!$A$2:$G$49,MATCH(orders!$D242,products!$A$2:$A$49,0),MATCH(orders!K$1,products!$A$1:$G$1,0))</f>
        <v>2.5</v>
      </c>
      <c r="L242" s="12">
        <f>INDEX(products!$A$2:$G$49,MATCH(orders!$D242,products!$A$2:$A$49,0),MATCH(orders!L$1,products!$A$1:$G$1,0))</f>
        <v>25.874999999999996</v>
      </c>
      <c r="M242" s="12">
        <f t="shared" si="9"/>
        <v>155.24999999999997</v>
      </c>
      <c r="N242" s="10" t="str">
        <f t="shared" si="10"/>
        <v>Arabica</v>
      </c>
      <c r="O242" s="10" t="str">
        <f t="shared" si="11"/>
        <v>Medium</v>
      </c>
      <c r="P242" s="10" t="str">
        <f>_xlfn.XLOOKUP(Tableau1[[#This Row],[Customer ID]],customers!A$2:A$1001,customers!I$2:I$1001)</f>
        <v>Yes</v>
      </c>
    </row>
    <row r="243" spans="1:16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9" t="str">
        <f>_xlfn.XLOOKUP(orders!C243,customers!$A$2:$A$1001,customers!$B$2:$B$1001)</f>
        <v>Christel Speak</v>
      </c>
      <c r="G243" s="9" t="str">
        <f>IF(_xlfn.XLOOKUP(orders!C243,customers!$A$2:$A$1001,customers!$C$2:$C$1001,,,)=0,"",_xlfn.XLOOKUP(orders!C243,customers!$A$2:$A$1001,customers!$C$2:$C$1001,,,))</f>
        <v/>
      </c>
      <c r="H243" s="9" t="str">
        <f>_xlfn.XLOOKUP(C243,customers!$A$2:$A$1001,customers!$G$2:$G$1001,"")</f>
        <v>United States</v>
      </c>
      <c r="I243" s="10" t="str">
        <f>INDEX(products!$A$2:$G$49,MATCH(orders!$D243,products!$A$2:$A$49,0),MATCH(orders!I$1,products!$A$1:$G$1,0))</f>
        <v>Rob</v>
      </c>
      <c r="J243" s="10" t="str">
        <f>INDEX(products!$A$2:$G$49,MATCH(orders!$D243,products!$A$2:$A$49,0),MATCH(orders!J$1,products!$A$1:$G$1,0))</f>
        <v>M</v>
      </c>
      <c r="K243" s="11">
        <f>INDEX(products!$A$2:$G$49,MATCH(orders!$D243,products!$A$2:$A$49,0),MATCH(orders!K$1,products!$A$1:$G$1,0))</f>
        <v>2.5</v>
      </c>
      <c r="L243" s="12">
        <f>INDEX(products!$A$2:$G$49,MATCH(orders!$D243,products!$A$2:$A$49,0),MATCH(orders!L$1,products!$A$1:$G$1,0))</f>
        <v>22.884999999999998</v>
      </c>
      <c r="M243" s="12">
        <f t="shared" si="9"/>
        <v>45.769999999999996</v>
      </c>
      <c r="N243" s="10" t="str">
        <f t="shared" si="10"/>
        <v>Robusta</v>
      </c>
      <c r="O243" s="10" t="str">
        <f t="shared" si="11"/>
        <v>Medium</v>
      </c>
      <c r="P243" s="10" t="str">
        <f>_xlfn.XLOOKUP(Tableau1[[#This Row],[Customer ID]],customers!A$2:A$1001,customers!I$2:I$1001)</f>
        <v>No</v>
      </c>
    </row>
    <row r="244" spans="1:16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9" t="str">
        <f>_xlfn.XLOOKUP(orders!C244,customers!$A$2:$A$1001,customers!$B$2:$B$1001)</f>
        <v>Sibella Rushbrooke</v>
      </c>
      <c r="G244" s="9" t="str">
        <f>IF(_xlfn.XLOOKUP(orders!C244,customers!$A$2:$A$1001,customers!$C$2:$C$1001,,,)=0,"",_xlfn.XLOOKUP(orders!C244,customers!$A$2:$A$1001,customers!$C$2:$C$1001,,,))</f>
        <v>srushbrooke6q@youku.com</v>
      </c>
      <c r="H244" s="9" t="str">
        <f>_xlfn.XLOOKUP(C244,customers!$A$2:$A$1001,customers!$G$2:$G$1001,"")</f>
        <v>United States</v>
      </c>
      <c r="I244" s="10" t="str">
        <f>INDEX(products!$A$2:$G$49,MATCH(orders!$D244,products!$A$2:$A$49,0),MATCH(orders!I$1,products!$A$1:$G$1,0))</f>
        <v>Exc</v>
      </c>
      <c r="J244" s="10" t="str">
        <f>INDEX(products!$A$2:$G$49,MATCH(orders!$D244,products!$A$2:$A$49,0),MATCH(orders!J$1,products!$A$1:$G$1,0))</f>
        <v>D</v>
      </c>
      <c r="K244" s="11">
        <f>INDEX(products!$A$2:$G$49,MATCH(orders!$D244,products!$A$2:$A$49,0),MATCH(orders!K$1,products!$A$1:$G$1,0))</f>
        <v>1</v>
      </c>
      <c r="L244" s="12">
        <f>INDEX(products!$A$2:$G$49,MATCH(orders!$D244,products!$A$2:$A$49,0),MATCH(orders!L$1,products!$A$1:$G$1,0))</f>
        <v>12.15</v>
      </c>
      <c r="M244" s="12">
        <f t="shared" si="9"/>
        <v>36.450000000000003</v>
      </c>
      <c r="N244" s="10" t="str">
        <f t="shared" si="10"/>
        <v>Excelsa</v>
      </c>
      <c r="O244" s="10" t="str">
        <f t="shared" si="11"/>
        <v>Dark</v>
      </c>
      <c r="P244" s="10" t="str">
        <f>_xlfn.XLOOKUP(Tableau1[[#This Row],[Customer ID]],customers!A$2:A$1001,customers!I$2:I$1001)</f>
        <v>Yes</v>
      </c>
    </row>
    <row r="245" spans="1:16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9" t="str">
        <f>_xlfn.XLOOKUP(orders!C245,customers!$A$2:$A$1001,customers!$B$2:$B$1001)</f>
        <v>Tammie Drynan</v>
      </c>
      <c r="G245" s="9" t="str">
        <f>IF(_xlfn.XLOOKUP(orders!C245,customers!$A$2:$A$1001,customers!$C$2:$C$1001,,,)=0,"",_xlfn.XLOOKUP(orders!C245,customers!$A$2:$A$1001,customers!$C$2:$C$1001,,,))</f>
        <v>tdrynan6r@deviantart.com</v>
      </c>
      <c r="H245" s="9" t="str">
        <f>_xlfn.XLOOKUP(C245,customers!$A$2:$A$1001,customers!$G$2:$G$1001,"")</f>
        <v>United States</v>
      </c>
      <c r="I245" s="10" t="str">
        <f>INDEX(products!$A$2:$G$49,MATCH(orders!$D245,products!$A$2:$A$49,0),MATCH(orders!I$1,products!$A$1:$G$1,0))</f>
        <v>Exc</v>
      </c>
      <c r="J245" s="10" t="str">
        <f>INDEX(products!$A$2:$G$49,MATCH(orders!$D245,products!$A$2:$A$49,0),MATCH(orders!J$1,products!$A$1:$G$1,0))</f>
        <v>D</v>
      </c>
      <c r="K245" s="11">
        <f>INDEX(products!$A$2:$G$49,MATCH(orders!$D245,products!$A$2:$A$49,0),MATCH(orders!K$1,products!$A$1:$G$1,0))</f>
        <v>0.5</v>
      </c>
      <c r="L245" s="12">
        <f>INDEX(products!$A$2:$G$49,MATCH(orders!$D245,products!$A$2:$A$49,0),MATCH(orders!L$1,products!$A$1:$G$1,0))</f>
        <v>7.29</v>
      </c>
      <c r="M245" s="12">
        <f t="shared" si="9"/>
        <v>29.16</v>
      </c>
      <c r="N245" s="10" t="str">
        <f t="shared" si="10"/>
        <v>Excelsa</v>
      </c>
      <c r="O245" s="10" t="str">
        <f t="shared" si="11"/>
        <v>Dark</v>
      </c>
      <c r="P245" s="10" t="str">
        <f>_xlfn.XLOOKUP(Tableau1[[#This Row],[Customer ID]],customers!A$2:A$1001,customers!I$2:I$1001)</f>
        <v>Yes</v>
      </c>
    </row>
    <row r="246" spans="1:16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9" t="str">
        <f>_xlfn.XLOOKUP(orders!C246,customers!$A$2:$A$1001,customers!$B$2:$B$1001)</f>
        <v>Effie Yurkov</v>
      </c>
      <c r="G246" s="9" t="str">
        <f>IF(_xlfn.XLOOKUP(orders!C246,customers!$A$2:$A$1001,customers!$C$2:$C$1001,,,)=0,"",_xlfn.XLOOKUP(orders!C246,customers!$A$2:$A$1001,customers!$C$2:$C$1001,,,))</f>
        <v>eyurkov6s@hud.gov</v>
      </c>
      <c r="H246" s="9" t="str">
        <f>_xlfn.XLOOKUP(C246,customers!$A$2:$A$1001,customers!$G$2:$G$1001,"")</f>
        <v>United States</v>
      </c>
      <c r="I246" s="10" t="str">
        <f>INDEX(products!$A$2:$G$49,MATCH(orders!$D246,products!$A$2:$A$49,0),MATCH(orders!I$1,products!$A$1:$G$1,0))</f>
        <v>Lib</v>
      </c>
      <c r="J246" s="10" t="str">
        <f>INDEX(products!$A$2:$G$49,MATCH(orders!$D246,products!$A$2:$A$49,0),MATCH(orders!J$1,products!$A$1:$G$1,0))</f>
        <v>M</v>
      </c>
      <c r="K246" s="11">
        <f>INDEX(products!$A$2:$G$49,MATCH(orders!$D246,products!$A$2:$A$49,0),MATCH(orders!K$1,products!$A$1:$G$1,0))</f>
        <v>2.5</v>
      </c>
      <c r="L246" s="12">
        <f>INDEX(products!$A$2:$G$49,MATCH(orders!$D246,products!$A$2:$A$49,0),MATCH(orders!L$1,products!$A$1:$G$1,0))</f>
        <v>33.464999999999996</v>
      </c>
      <c r="M246" s="12">
        <f t="shared" si="9"/>
        <v>133.85999999999999</v>
      </c>
      <c r="N246" s="10" t="str">
        <f t="shared" si="10"/>
        <v>Liberica</v>
      </c>
      <c r="O246" s="10" t="str">
        <f t="shared" si="11"/>
        <v>Medium</v>
      </c>
      <c r="P246" s="10" t="str">
        <f>_xlfn.XLOOKUP(Tableau1[[#This Row],[Customer ID]],customers!A$2:A$1001,customers!I$2:I$1001)</f>
        <v>No</v>
      </c>
    </row>
    <row r="247" spans="1:16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9" t="str">
        <f>_xlfn.XLOOKUP(orders!C247,customers!$A$2:$A$1001,customers!$B$2:$B$1001)</f>
        <v>Lexie Mallan</v>
      </c>
      <c r="G247" s="9" t="str">
        <f>IF(_xlfn.XLOOKUP(orders!C247,customers!$A$2:$A$1001,customers!$C$2:$C$1001,,,)=0,"",_xlfn.XLOOKUP(orders!C247,customers!$A$2:$A$1001,customers!$C$2:$C$1001,,,))</f>
        <v>lmallan6t@state.gov</v>
      </c>
      <c r="H247" s="9" t="str">
        <f>_xlfn.XLOOKUP(C247,customers!$A$2:$A$1001,customers!$G$2:$G$1001,"")</f>
        <v>United States</v>
      </c>
      <c r="I247" s="10" t="str">
        <f>INDEX(products!$A$2:$G$49,MATCH(orders!$D247,products!$A$2:$A$49,0),MATCH(orders!I$1,products!$A$1:$G$1,0))</f>
        <v>Lib</v>
      </c>
      <c r="J247" s="10" t="str">
        <f>INDEX(products!$A$2:$G$49,MATCH(orders!$D247,products!$A$2:$A$49,0),MATCH(orders!J$1,products!$A$1:$G$1,0))</f>
        <v>L</v>
      </c>
      <c r="K247" s="11">
        <f>INDEX(products!$A$2:$G$49,MATCH(orders!$D247,products!$A$2:$A$49,0),MATCH(orders!K$1,products!$A$1:$G$1,0))</f>
        <v>0.2</v>
      </c>
      <c r="L247" s="12">
        <f>INDEX(products!$A$2:$G$49,MATCH(orders!$D247,products!$A$2:$A$49,0),MATCH(orders!L$1,products!$A$1:$G$1,0))</f>
        <v>4.7549999999999999</v>
      </c>
      <c r="M247" s="12">
        <f t="shared" si="9"/>
        <v>23.774999999999999</v>
      </c>
      <c r="N247" s="10" t="str">
        <f t="shared" si="10"/>
        <v>Liberica</v>
      </c>
      <c r="O247" s="10" t="str">
        <f t="shared" si="11"/>
        <v>Light</v>
      </c>
      <c r="P247" s="10" t="str">
        <f>_xlfn.XLOOKUP(Tableau1[[#This Row],[Customer ID]],customers!A$2:A$1001,customers!I$2:I$1001)</f>
        <v>Yes</v>
      </c>
    </row>
    <row r="248" spans="1:16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9" t="str">
        <f>_xlfn.XLOOKUP(orders!C248,customers!$A$2:$A$1001,customers!$B$2:$B$1001)</f>
        <v>Georgena Bentjens</v>
      </c>
      <c r="G248" s="9" t="str">
        <f>IF(_xlfn.XLOOKUP(orders!C248,customers!$A$2:$A$1001,customers!$C$2:$C$1001,,,)=0,"",_xlfn.XLOOKUP(orders!C248,customers!$A$2:$A$1001,customers!$C$2:$C$1001,,,))</f>
        <v>gbentjens6u@netlog.com</v>
      </c>
      <c r="H248" s="9" t="str">
        <f>_xlfn.XLOOKUP(C248,customers!$A$2:$A$1001,customers!$G$2:$G$1001,"")</f>
        <v>United Kingdom</v>
      </c>
      <c r="I248" s="10" t="str">
        <f>INDEX(products!$A$2:$G$49,MATCH(orders!$D248,products!$A$2:$A$49,0),MATCH(orders!I$1,products!$A$1:$G$1,0))</f>
        <v>Lib</v>
      </c>
      <c r="J248" s="10" t="str">
        <f>INDEX(products!$A$2:$G$49,MATCH(orders!$D248,products!$A$2:$A$49,0),MATCH(orders!J$1,products!$A$1:$G$1,0))</f>
        <v>D</v>
      </c>
      <c r="K248" s="11">
        <f>INDEX(products!$A$2:$G$49,MATCH(orders!$D248,products!$A$2:$A$49,0),MATCH(orders!K$1,products!$A$1:$G$1,0))</f>
        <v>1</v>
      </c>
      <c r="L248" s="12">
        <f>INDEX(products!$A$2:$G$49,MATCH(orders!$D248,products!$A$2:$A$49,0),MATCH(orders!L$1,products!$A$1:$G$1,0))</f>
        <v>12.95</v>
      </c>
      <c r="M248" s="12">
        <f t="shared" si="9"/>
        <v>38.849999999999994</v>
      </c>
      <c r="N248" s="10" t="str">
        <f t="shared" si="10"/>
        <v>Liberica</v>
      </c>
      <c r="O248" s="10" t="str">
        <f t="shared" si="11"/>
        <v>Dark</v>
      </c>
      <c r="P248" s="10" t="str">
        <f>_xlfn.XLOOKUP(Tableau1[[#This Row],[Customer ID]],customers!A$2:A$1001,customers!I$2:I$1001)</f>
        <v>No</v>
      </c>
    </row>
    <row r="249" spans="1:16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9" t="str">
        <f>_xlfn.XLOOKUP(orders!C249,customers!$A$2:$A$1001,customers!$B$2:$B$1001)</f>
        <v>Delmar Beasant</v>
      </c>
      <c r="G249" s="9" t="str">
        <f>IF(_xlfn.XLOOKUP(orders!C249,customers!$A$2:$A$1001,customers!$C$2:$C$1001,,,)=0,"",_xlfn.XLOOKUP(orders!C249,customers!$A$2:$A$1001,customers!$C$2:$C$1001,,,))</f>
        <v/>
      </c>
      <c r="H249" s="9" t="str">
        <f>_xlfn.XLOOKUP(C249,customers!$A$2:$A$1001,customers!$G$2:$G$1001,"")</f>
        <v>Ireland</v>
      </c>
      <c r="I249" s="10" t="str">
        <f>INDEX(products!$A$2:$G$49,MATCH(orders!$D249,products!$A$2:$A$49,0),MATCH(orders!I$1,products!$A$1:$G$1,0))</f>
        <v>Rob</v>
      </c>
      <c r="J249" s="10" t="str">
        <f>INDEX(products!$A$2:$G$49,MATCH(orders!$D249,products!$A$2:$A$49,0),MATCH(orders!J$1,products!$A$1:$G$1,0))</f>
        <v>L</v>
      </c>
      <c r="K249" s="11">
        <f>INDEX(products!$A$2:$G$49,MATCH(orders!$D249,products!$A$2:$A$49,0),MATCH(orders!K$1,products!$A$1:$G$1,0))</f>
        <v>0.2</v>
      </c>
      <c r="L249" s="12">
        <f>INDEX(products!$A$2:$G$49,MATCH(orders!$D249,products!$A$2:$A$49,0),MATCH(orders!L$1,products!$A$1:$G$1,0))</f>
        <v>3.5849999999999995</v>
      </c>
      <c r="M249" s="12">
        <f t="shared" si="9"/>
        <v>21.509999999999998</v>
      </c>
      <c r="N249" s="10" t="str">
        <f t="shared" si="10"/>
        <v>Robusta</v>
      </c>
      <c r="O249" s="10" t="str">
        <f t="shared" si="11"/>
        <v>Light</v>
      </c>
      <c r="P249" s="10" t="str">
        <f>_xlfn.XLOOKUP(Tableau1[[#This Row],[Customer ID]],customers!A$2:A$1001,customers!I$2:I$1001)</f>
        <v>Yes</v>
      </c>
    </row>
    <row r="250" spans="1:16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9" t="str">
        <f>_xlfn.XLOOKUP(orders!C250,customers!$A$2:$A$1001,customers!$B$2:$B$1001)</f>
        <v>Lyn Entwistle</v>
      </c>
      <c r="G250" s="9" t="str">
        <f>IF(_xlfn.XLOOKUP(orders!C250,customers!$A$2:$A$1001,customers!$C$2:$C$1001,,,)=0,"",_xlfn.XLOOKUP(orders!C250,customers!$A$2:$A$1001,customers!$C$2:$C$1001,,,))</f>
        <v>lentwistle6w@omniture.com</v>
      </c>
      <c r="H250" s="9" t="str">
        <f>_xlfn.XLOOKUP(C250,customers!$A$2:$A$1001,customers!$G$2:$G$1001,"")</f>
        <v>United States</v>
      </c>
      <c r="I250" s="10" t="str">
        <f>INDEX(products!$A$2:$G$49,MATCH(orders!$D250,products!$A$2:$A$49,0),MATCH(orders!I$1,products!$A$1:$G$1,0))</f>
        <v>Ara</v>
      </c>
      <c r="J250" s="10" t="str">
        <f>INDEX(products!$A$2:$G$49,MATCH(orders!$D250,products!$A$2:$A$49,0),MATCH(orders!J$1,products!$A$1:$G$1,0))</f>
        <v>D</v>
      </c>
      <c r="K250" s="11">
        <f>INDEX(products!$A$2:$G$49,MATCH(orders!$D250,products!$A$2:$A$49,0),MATCH(orders!K$1,products!$A$1:$G$1,0))</f>
        <v>1</v>
      </c>
      <c r="L250" s="12">
        <f>INDEX(products!$A$2:$G$49,MATCH(orders!$D250,products!$A$2:$A$49,0),MATCH(orders!L$1,products!$A$1:$G$1,0))</f>
        <v>9.9499999999999993</v>
      </c>
      <c r="M250" s="12">
        <f t="shared" si="9"/>
        <v>9.9499999999999993</v>
      </c>
      <c r="N250" s="10" t="str">
        <f t="shared" si="10"/>
        <v>Arabica</v>
      </c>
      <c r="O250" s="10" t="str">
        <f t="shared" si="11"/>
        <v>Dark</v>
      </c>
      <c r="P250" s="10" t="str">
        <f>_xlfn.XLOOKUP(Tableau1[[#This Row],[Customer ID]],customers!A$2:A$1001,customers!I$2:I$1001)</f>
        <v>Yes</v>
      </c>
    </row>
    <row r="251" spans="1:16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9" t="str">
        <f>_xlfn.XLOOKUP(orders!C251,customers!$A$2:$A$1001,customers!$B$2:$B$1001)</f>
        <v>Zacharias Kiffe</v>
      </c>
      <c r="G251" s="9" t="str">
        <f>IF(_xlfn.XLOOKUP(orders!C251,customers!$A$2:$A$1001,customers!$C$2:$C$1001,,,)=0,"",_xlfn.XLOOKUP(orders!C251,customers!$A$2:$A$1001,customers!$C$2:$C$1001,,,))</f>
        <v>zkiffe74@cyberchimps.com</v>
      </c>
      <c r="H251" s="9" t="str">
        <f>_xlfn.XLOOKUP(C251,customers!$A$2:$A$1001,customers!$G$2:$G$1001,"")</f>
        <v>United States</v>
      </c>
      <c r="I251" s="10" t="str">
        <f>INDEX(products!$A$2:$G$49,MATCH(orders!$D251,products!$A$2:$A$49,0),MATCH(orders!I$1,products!$A$1:$G$1,0))</f>
        <v>Lib</v>
      </c>
      <c r="J251" s="10" t="str">
        <f>INDEX(products!$A$2:$G$49,MATCH(orders!$D251,products!$A$2:$A$49,0),MATCH(orders!J$1,products!$A$1:$G$1,0))</f>
        <v>L</v>
      </c>
      <c r="K251" s="11">
        <f>INDEX(products!$A$2:$G$49,MATCH(orders!$D251,products!$A$2:$A$49,0),MATCH(orders!K$1,products!$A$1:$G$1,0))</f>
        <v>1</v>
      </c>
      <c r="L251" s="12">
        <f>INDEX(products!$A$2:$G$49,MATCH(orders!$D251,products!$A$2:$A$49,0),MATCH(orders!L$1,products!$A$1:$G$1,0))</f>
        <v>15.85</v>
      </c>
      <c r="M251" s="12">
        <f t="shared" si="9"/>
        <v>15.85</v>
      </c>
      <c r="N251" s="10" t="str">
        <f t="shared" si="10"/>
        <v>Liberica</v>
      </c>
      <c r="O251" s="10" t="str">
        <f t="shared" si="11"/>
        <v>Light</v>
      </c>
      <c r="P251" s="10" t="str">
        <f>_xlfn.XLOOKUP(Tableau1[[#This Row],[Customer ID]],customers!A$2:A$1001,customers!I$2:I$1001)</f>
        <v>Yes</v>
      </c>
    </row>
    <row r="252" spans="1:16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9" t="str">
        <f>_xlfn.XLOOKUP(orders!C252,customers!$A$2:$A$1001,customers!$B$2:$B$1001)</f>
        <v>Mercedes Acott</v>
      </c>
      <c r="G252" s="9" t="str">
        <f>IF(_xlfn.XLOOKUP(orders!C252,customers!$A$2:$A$1001,customers!$C$2:$C$1001,,,)=0,"",_xlfn.XLOOKUP(orders!C252,customers!$A$2:$A$1001,customers!$C$2:$C$1001,,,))</f>
        <v>macott6y@pagesperso-orange.fr</v>
      </c>
      <c r="H252" s="9" t="str">
        <f>_xlfn.XLOOKUP(C252,customers!$A$2:$A$1001,customers!$G$2:$G$1001,"")</f>
        <v>United States</v>
      </c>
      <c r="I252" s="10" t="str">
        <f>INDEX(products!$A$2:$G$49,MATCH(orders!$D252,products!$A$2:$A$49,0),MATCH(orders!I$1,products!$A$1:$G$1,0))</f>
        <v>Rob</v>
      </c>
      <c r="J252" s="10" t="str">
        <f>INDEX(products!$A$2:$G$49,MATCH(orders!$D252,products!$A$2:$A$49,0),MATCH(orders!J$1,products!$A$1:$G$1,0))</f>
        <v>M</v>
      </c>
      <c r="K252" s="11">
        <f>INDEX(products!$A$2:$G$49,MATCH(orders!$D252,products!$A$2:$A$49,0),MATCH(orders!K$1,products!$A$1:$G$1,0))</f>
        <v>0.2</v>
      </c>
      <c r="L252" s="12">
        <f>INDEX(products!$A$2:$G$49,MATCH(orders!$D252,products!$A$2:$A$49,0),MATCH(orders!L$1,products!$A$1:$G$1,0))</f>
        <v>2.9849999999999999</v>
      </c>
      <c r="M252" s="12">
        <f t="shared" si="9"/>
        <v>2.9849999999999999</v>
      </c>
      <c r="N252" s="10" t="str">
        <f t="shared" si="10"/>
        <v>Robusta</v>
      </c>
      <c r="O252" s="10" t="str">
        <f t="shared" si="11"/>
        <v>Medium</v>
      </c>
      <c r="P252" s="10" t="str">
        <f>_xlfn.XLOOKUP(Tableau1[[#This Row],[Customer ID]],customers!A$2:A$1001,customers!I$2:I$1001)</f>
        <v>Yes</v>
      </c>
    </row>
    <row r="253" spans="1:16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9" t="str">
        <f>_xlfn.XLOOKUP(orders!C253,customers!$A$2:$A$1001,customers!$B$2:$B$1001)</f>
        <v>Connor Heaviside</v>
      </c>
      <c r="G253" s="9" t="str">
        <f>IF(_xlfn.XLOOKUP(orders!C253,customers!$A$2:$A$1001,customers!$C$2:$C$1001,,,)=0,"",_xlfn.XLOOKUP(orders!C253,customers!$A$2:$A$1001,customers!$C$2:$C$1001,,,))</f>
        <v>cheaviside6z@rediff.com</v>
      </c>
      <c r="H253" s="9" t="str">
        <f>_xlfn.XLOOKUP(C253,customers!$A$2:$A$1001,customers!$G$2:$G$1001,"")</f>
        <v>United States</v>
      </c>
      <c r="I253" s="10" t="str">
        <f>INDEX(products!$A$2:$G$49,MATCH(orders!$D253,products!$A$2:$A$49,0),MATCH(orders!I$1,products!$A$1:$G$1,0))</f>
        <v>Exc</v>
      </c>
      <c r="J253" s="10" t="str">
        <f>INDEX(products!$A$2:$G$49,MATCH(orders!$D253,products!$A$2:$A$49,0),MATCH(orders!J$1,products!$A$1:$G$1,0))</f>
        <v>M</v>
      </c>
      <c r="K253" s="11">
        <f>INDEX(products!$A$2:$G$49,MATCH(orders!$D253,products!$A$2:$A$49,0),MATCH(orders!K$1,products!$A$1:$G$1,0))</f>
        <v>1</v>
      </c>
      <c r="L253" s="12">
        <f>INDEX(products!$A$2:$G$49,MATCH(orders!$D253,products!$A$2:$A$49,0),MATCH(orders!L$1,products!$A$1:$G$1,0))</f>
        <v>13.75</v>
      </c>
      <c r="M253" s="12">
        <f t="shared" si="9"/>
        <v>68.75</v>
      </c>
      <c r="N253" s="10" t="str">
        <f t="shared" si="10"/>
        <v>Excelsa</v>
      </c>
      <c r="O253" s="10" t="str">
        <f t="shared" si="11"/>
        <v>Medium</v>
      </c>
      <c r="P253" s="10" t="str">
        <f>_xlfn.XLOOKUP(Tableau1[[#This Row],[Customer ID]],customers!A$2:A$1001,customers!I$2:I$1001)</f>
        <v>Yes</v>
      </c>
    </row>
    <row r="254" spans="1:16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9" t="str">
        <f>_xlfn.XLOOKUP(orders!C254,customers!$A$2:$A$1001,customers!$B$2:$B$1001)</f>
        <v>Devy Bulbrook</v>
      </c>
      <c r="G254" s="9" t="str">
        <f>IF(_xlfn.XLOOKUP(orders!C254,customers!$A$2:$A$1001,customers!$C$2:$C$1001,,,)=0,"",_xlfn.XLOOKUP(orders!C254,customers!$A$2:$A$1001,customers!$C$2:$C$1001,,,))</f>
        <v/>
      </c>
      <c r="H254" s="9" t="str">
        <f>_xlfn.XLOOKUP(C254,customers!$A$2:$A$1001,customers!$G$2:$G$1001,"")</f>
        <v>United States</v>
      </c>
      <c r="I254" s="10" t="str">
        <f>INDEX(products!$A$2:$G$49,MATCH(orders!$D254,products!$A$2:$A$49,0),MATCH(orders!I$1,products!$A$1:$G$1,0))</f>
        <v>Ara</v>
      </c>
      <c r="J254" s="10" t="str">
        <f>INDEX(products!$A$2:$G$49,MATCH(orders!$D254,products!$A$2:$A$49,0),MATCH(orders!J$1,products!$A$1:$G$1,0))</f>
        <v>D</v>
      </c>
      <c r="K254" s="11">
        <f>INDEX(products!$A$2:$G$49,MATCH(orders!$D254,products!$A$2:$A$49,0),MATCH(orders!K$1,products!$A$1:$G$1,0))</f>
        <v>1</v>
      </c>
      <c r="L254" s="12">
        <f>INDEX(products!$A$2:$G$49,MATCH(orders!$D254,products!$A$2:$A$49,0),MATCH(orders!L$1,products!$A$1:$G$1,0))</f>
        <v>9.9499999999999993</v>
      </c>
      <c r="M254" s="12">
        <f t="shared" si="9"/>
        <v>29.849999999999998</v>
      </c>
      <c r="N254" s="10" t="str">
        <f t="shared" si="10"/>
        <v>Arabica</v>
      </c>
      <c r="O254" s="10" t="str">
        <f t="shared" si="11"/>
        <v>Dark</v>
      </c>
      <c r="P254" s="10" t="str">
        <f>_xlfn.XLOOKUP(Tableau1[[#This Row],[Customer ID]],customers!A$2:A$1001,customers!I$2:I$1001)</f>
        <v>No</v>
      </c>
    </row>
    <row r="255" spans="1:16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9" t="str">
        <f>_xlfn.XLOOKUP(orders!C255,customers!$A$2:$A$1001,customers!$B$2:$B$1001)</f>
        <v>Leia Kernan</v>
      </c>
      <c r="G255" s="9" t="str">
        <f>IF(_xlfn.XLOOKUP(orders!C255,customers!$A$2:$A$1001,customers!$C$2:$C$1001,,,)=0,"",_xlfn.XLOOKUP(orders!C255,customers!$A$2:$A$1001,customers!$C$2:$C$1001,,,))</f>
        <v>lkernan71@wsj.com</v>
      </c>
      <c r="H255" s="9" t="str">
        <f>_xlfn.XLOOKUP(C255,customers!$A$2:$A$1001,customers!$G$2:$G$1001,"")</f>
        <v>United States</v>
      </c>
      <c r="I255" s="10" t="str">
        <f>INDEX(products!$A$2:$G$49,MATCH(orders!$D255,products!$A$2:$A$49,0),MATCH(orders!I$1,products!$A$1:$G$1,0))</f>
        <v>Lib</v>
      </c>
      <c r="J255" s="10" t="str">
        <f>INDEX(products!$A$2:$G$49,MATCH(orders!$D255,products!$A$2:$A$49,0),MATCH(orders!J$1,products!$A$1:$G$1,0))</f>
        <v>M</v>
      </c>
      <c r="K255" s="11">
        <f>INDEX(products!$A$2:$G$49,MATCH(orders!$D255,products!$A$2:$A$49,0),MATCH(orders!K$1,products!$A$1:$G$1,0))</f>
        <v>1</v>
      </c>
      <c r="L255" s="12">
        <f>INDEX(products!$A$2:$G$49,MATCH(orders!$D255,products!$A$2:$A$49,0),MATCH(orders!L$1,products!$A$1:$G$1,0))</f>
        <v>14.55</v>
      </c>
      <c r="M255" s="12">
        <f t="shared" si="9"/>
        <v>58.2</v>
      </c>
      <c r="N255" s="10" t="str">
        <f t="shared" si="10"/>
        <v>Liberica</v>
      </c>
      <c r="O255" s="10" t="str">
        <f t="shared" si="11"/>
        <v>Medium</v>
      </c>
      <c r="P255" s="10" t="str">
        <f>_xlfn.XLOOKUP(Tableau1[[#This Row],[Customer ID]],customers!A$2:A$1001,customers!I$2:I$1001)</f>
        <v>No</v>
      </c>
    </row>
    <row r="256" spans="1:16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9" t="str">
        <f>_xlfn.XLOOKUP(orders!C256,customers!$A$2:$A$1001,customers!$B$2:$B$1001)</f>
        <v>Rosaline McLae</v>
      </c>
      <c r="G256" s="9" t="str">
        <f>IF(_xlfn.XLOOKUP(orders!C256,customers!$A$2:$A$1001,customers!$C$2:$C$1001,,,)=0,"",_xlfn.XLOOKUP(orders!C256,customers!$A$2:$A$1001,customers!$C$2:$C$1001,,,))</f>
        <v>rmclae72@dailymotion.com</v>
      </c>
      <c r="H256" s="9" t="str">
        <f>_xlfn.XLOOKUP(C256,customers!$A$2:$A$1001,customers!$G$2:$G$1001,"")</f>
        <v>United Kingdom</v>
      </c>
      <c r="I256" s="10" t="str">
        <f>INDEX(products!$A$2:$G$49,MATCH(orders!$D256,products!$A$2:$A$49,0),MATCH(orders!I$1,products!$A$1:$G$1,0))</f>
        <v>Rob</v>
      </c>
      <c r="J256" s="10" t="str">
        <f>INDEX(products!$A$2:$G$49,MATCH(orders!$D256,products!$A$2:$A$49,0),MATCH(orders!J$1,products!$A$1:$G$1,0))</f>
        <v>L</v>
      </c>
      <c r="K256" s="11">
        <f>INDEX(products!$A$2:$G$49,MATCH(orders!$D256,products!$A$2:$A$49,0),MATCH(orders!K$1,products!$A$1:$G$1,0))</f>
        <v>0.5</v>
      </c>
      <c r="L256" s="12">
        <f>INDEX(products!$A$2:$G$49,MATCH(orders!$D256,products!$A$2:$A$49,0),MATCH(orders!L$1,products!$A$1:$G$1,0))</f>
        <v>7.169999999999999</v>
      </c>
      <c r="M256" s="12">
        <f t="shared" si="9"/>
        <v>28.679999999999996</v>
      </c>
      <c r="N256" s="10" t="str">
        <f t="shared" si="10"/>
        <v>Robusta</v>
      </c>
      <c r="O256" s="10" t="str">
        <f t="shared" si="11"/>
        <v>Light</v>
      </c>
      <c r="P256" s="10" t="str">
        <f>_xlfn.XLOOKUP(Tableau1[[#This Row],[Customer ID]],customers!A$2:A$1001,customers!I$2:I$1001)</f>
        <v>No</v>
      </c>
    </row>
    <row r="257" spans="1:16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9" t="str">
        <f>_xlfn.XLOOKUP(orders!C257,customers!$A$2:$A$1001,customers!$B$2:$B$1001)</f>
        <v>Cleve Blowfelde</v>
      </c>
      <c r="G257" s="9" t="str">
        <f>IF(_xlfn.XLOOKUP(orders!C257,customers!$A$2:$A$1001,customers!$C$2:$C$1001,,,)=0,"",_xlfn.XLOOKUP(orders!C257,customers!$A$2:$A$1001,customers!$C$2:$C$1001,,,))</f>
        <v>cblowfelde73@ustream.tv</v>
      </c>
      <c r="H257" s="9" t="str">
        <f>_xlfn.XLOOKUP(C257,customers!$A$2:$A$1001,customers!$G$2:$G$1001,"")</f>
        <v>United States</v>
      </c>
      <c r="I257" s="10" t="str">
        <f>INDEX(products!$A$2:$G$49,MATCH(orders!$D257,products!$A$2:$A$49,0),MATCH(orders!I$1,products!$A$1:$G$1,0))</f>
        <v>Rob</v>
      </c>
      <c r="J257" s="10" t="str">
        <f>INDEX(products!$A$2:$G$49,MATCH(orders!$D257,products!$A$2:$A$49,0),MATCH(orders!J$1,products!$A$1:$G$1,0))</f>
        <v>L</v>
      </c>
      <c r="K257" s="11">
        <f>INDEX(products!$A$2:$G$49,MATCH(orders!$D257,products!$A$2:$A$49,0),MATCH(orders!K$1,products!$A$1:$G$1,0))</f>
        <v>0.5</v>
      </c>
      <c r="L257" s="12">
        <f>INDEX(products!$A$2:$G$49,MATCH(orders!$D257,products!$A$2:$A$49,0),MATCH(orders!L$1,products!$A$1:$G$1,0))</f>
        <v>7.169999999999999</v>
      </c>
      <c r="M257" s="12">
        <f t="shared" si="9"/>
        <v>21.509999999999998</v>
      </c>
      <c r="N257" s="10" t="str">
        <f t="shared" si="10"/>
        <v>Robusta</v>
      </c>
      <c r="O257" s="10" t="str">
        <f t="shared" si="11"/>
        <v>Light</v>
      </c>
      <c r="P257" s="10" t="str">
        <f>_xlfn.XLOOKUP(Tableau1[[#This Row],[Customer ID]],customers!A$2:A$1001,customers!I$2:I$1001)</f>
        <v>No</v>
      </c>
    </row>
    <row r="258" spans="1:16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9" t="str">
        <f>_xlfn.XLOOKUP(orders!C258,customers!$A$2:$A$1001,customers!$B$2:$B$1001)</f>
        <v>Zacharias Kiffe</v>
      </c>
      <c r="G258" s="9" t="str">
        <f>IF(_xlfn.XLOOKUP(orders!C258,customers!$A$2:$A$1001,customers!$C$2:$C$1001,,,)=0,"",_xlfn.XLOOKUP(orders!C258,customers!$A$2:$A$1001,customers!$C$2:$C$1001,,,))</f>
        <v>zkiffe74@cyberchimps.com</v>
      </c>
      <c r="H258" s="9" t="str">
        <f>_xlfn.XLOOKUP(C258,customers!$A$2:$A$1001,customers!$G$2:$G$1001,"")</f>
        <v>United States</v>
      </c>
      <c r="I258" s="10" t="str">
        <f>INDEX(products!$A$2:$G$49,MATCH(orders!$D258,products!$A$2:$A$49,0),MATCH(orders!I$1,products!$A$1:$G$1,0))</f>
        <v>Lib</v>
      </c>
      <c r="J258" s="10" t="str">
        <f>INDEX(products!$A$2:$G$49,MATCH(orders!$D258,products!$A$2:$A$49,0),MATCH(orders!J$1,products!$A$1:$G$1,0))</f>
        <v>M</v>
      </c>
      <c r="K258" s="11">
        <f>INDEX(products!$A$2:$G$49,MATCH(orders!$D258,products!$A$2:$A$49,0),MATCH(orders!K$1,products!$A$1:$G$1,0))</f>
        <v>0.5</v>
      </c>
      <c r="L258" s="12">
        <f>INDEX(products!$A$2:$G$49,MATCH(orders!$D258,products!$A$2:$A$49,0),MATCH(orders!L$1,products!$A$1:$G$1,0))</f>
        <v>8.73</v>
      </c>
      <c r="M258" s="12">
        <f t="shared" si="9"/>
        <v>17.46</v>
      </c>
      <c r="N258" s="10" t="str">
        <f t="shared" si="10"/>
        <v>Liberica</v>
      </c>
      <c r="O258" s="10" t="str">
        <f t="shared" si="11"/>
        <v>Medium</v>
      </c>
      <c r="P258" s="10" t="str">
        <f>_xlfn.XLOOKUP(Tableau1[[#This Row],[Customer ID]],customers!A$2:A$1001,customers!I$2:I$1001)</f>
        <v>Yes</v>
      </c>
    </row>
    <row r="259" spans="1:16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9" t="str">
        <f>_xlfn.XLOOKUP(orders!C259,customers!$A$2:$A$1001,customers!$B$2:$B$1001)</f>
        <v>Denyse O'Calleran</v>
      </c>
      <c r="G259" s="9" t="str">
        <f>IF(_xlfn.XLOOKUP(orders!C259,customers!$A$2:$A$1001,customers!$C$2:$C$1001,,,)=0,"",_xlfn.XLOOKUP(orders!C259,customers!$A$2:$A$1001,customers!$C$2:$C$1001,,,))</f>
        <v>docalleran75@ucla.edu</v>
      </c>
      <c r="H259" s="9" t="str">
        <f>_xlfn.XLOOKUP(C259,customers!$A$2:$A$1001,customers!$G$2:$G$1001,"")</f>
        <v>United States</v>
      </c>
      <c r="I259" s="10" t="str">
        <f>INDEX(products!$A$2:$G$49,MATCH(orders!$D259,products!$A$2:$A$49,0),MATCH(orders!I$1,products!$A$1:$G$1,0))</f>
        <v>Exc</v>
      </c>
      <c r="J259" s="10" t="str">
        <f>INDEX(products!$A$2:$G$49,MATCH(orders!$D259,products!$A$2:$A$49,0),MATCH(orders!J$1,products!$A$1:$G$1,0))</f>
        <v>D</v>
      </c>
      <c r="K259" s="11">
        <f>INDEX(products!$A$2:$G$49,MATCH(orders!$D259,products!$A$2:$A$49,0),MATCH(orders!K$1,products!$A$1:$G$1,0))</f>
        <v>2.5</v>
      </c>
      <c r="L259" s="12">
        <f>INDEX(products!$A$2:$G$49,MATCH(orders!$D259,products!$A$2:$A$49,0),MATCH(orders!L$1,products!$A$1:$G$1,0))</f>
        <v>27.945</v>
      </c>
      <c r="M259" s="12">
        <f t="shared" ref="M259:M322" si="12">L259*E259</f>
        <v>27.945</v>
      </c>
      <c r="N259" s="10" t="str">
        <f t="shared" ref="N259:N322" si="13">IF(I259="Rob","Robusta",IF(I259="Exc","Excelsa",IF(I259="Ara","Arabica",IF(I259="Lib","Liberica"))))</f>
        <v>Excelsa</v>
      </c>
      <c r="O259" s="10" t="str">
        <f t="shared" ref="O259:O322" si="14">IF(J259="M","Medium",IF(J259="L","Light",IF(J259="D","Dark")))</f>
        <v>Dark</v>
      </c>
      <c r="P259" s="10" t="str">
        <f>_xlfn.XLOOKUP(Tableau1[[#This Row],[Customer ID]],customers!A$2:A$1001,customers!I$2:I$1001)</f>
        <v>Yes</v>
      </c>
    </row>
    <row r="260" spans="1:16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9" t="str">
        <f>_xlfn.XLOOKUP(orders!C260,customers!$A$2:$A$1001,customers!$B$2:$B$1001)</f>
        <v>Cobby Cromwell</v>
      </c>
      <c r="G260" s="9" t="str">
        <f>IF(_xlfn.XLOOKUP(orders!C260,customers!$A$2:$A$1001,customers!$C$2:$C$1001,,,)=0,"",_xlfn.XLOOKUP(orders!C260,customers!$A$2:$A$1001,customers!$C$2:$C$1001,,,))</f>
        <v>ccromwell76@desdev.cn</v>
      </c>
      <c r="H260" s="9" t="str">
        <f>_xlfn.XLOOKUP(C260,customers!$A$2:$A$1001,customers!$G$2:$G$1001,"")</f>
        <v>United States</v>
      </c>
      <c r="I260" s="10" t="str">
        <f>INDEX(products!$A$2:$G$49,MATCH(orders!$D260,products!$A$2:$A$49,0),MATCH(orders!I$1,products!$A$1:$G$1,0))</f>
        <v>Exc</v>
      </c>
      <c r="J260" s="10" t="str">
        <f>INDEX(products!$A$2:$G$49,MATCH(orders!$D260,products!$A$2:$A$49,0),MATCH(orders!J$1,products!$A$1:$G$1,0))</f>
        <v>D</v>
      </c>
      <c r="K260" s="11">
        <f>INDEX(products!$A$2:$G$49,MATCH(orders!$D260,products!$A$2:$A$49,0),MATCH(orders!K$1,products!$A$1:$G$1,0))</f>
        <v>2.5</v>
      </c>
      <c r="L260" s="12">
        <f>INDEX(products!$A$2:$G$49,MATCH(orders!$D260,products!$A$2:$A$49,0),MATCH(orders!L$1,products!$A$1:$G$1,0))</f>
        <v>27.945</v>
      </c>
      <c r="M260" s="12">
        <f t="shared" si="12"/>
        <v>139.72499999999999</v>
      </c>
      <c r="N260" s="10" t="str">
        <f t="shared" si="13"/>
        <v>Excelsa</v>
      </c>
      <c r="O260" s="10" t="str">
        <f t="shared" si="14"/>
        <v>Dark</v>
      </c>
      <c r="P260" s="10" t="str">
        <f>_xlfn.XLOOKUP(Tableau1[[#This Row],[Customer ID]],customers!A$2:A$1001,customers!I$2:I$1001)</f>
        <v>No</v>
      </c>
    </row>
    <row r="261" spans="1:16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9" t="str">
        <f>_xlfn.XLOOKUP(orders!C261,customers!$A$2:$A$1001,customers!$B$2:$B$1001)</f>
        <v>Irv Hay</v>
      </c>
      <c r="G261" s="9" t="str">
        <f>IF(_xlfn.XLOOKUP(orders!C261,customers!$A$2:$A$1001,customers!$C$2:$C$1001,,,)=0,"",_xlfn.XLOOKUP(orders!C261,customers!$A$2:$A$1001,customers!$C$2:$C$1001,,,))</f>
        <v>ihay77@lulu.com</v>
      </c>
      <c r="H261" s="9" t="str">
        <f>_xlfn.XLOOKUP(C261,customers!$A$2:$A$1001,customers!$G$2:$G$1001,"")</f>
        <v>United Kingdom</v>
      </c>
      <c r="I261" s="10" t="str">
        <f>INDEX(products!$A$2:$G$49,MATCH(orders!$D261,products!$A$2:$A$49,0),MATCH(orders!I$1,products!$A$1:$G$1,0))</f>
        <v>Rob</v>
      </c>
      <c r="J261" s="10" t="str">
        <f>INDEX(products!$A$2:$G$49,MATCH(orders!$D261,products!$A$2:$A$49,0),MATCH(orders!J$1,products!$A$1:$G$1,0))</f>
        <v>M</v>
      </c>
      <c r="K261" s="11">
        <f>INDEX(products!$A$2:$G$49,MATCH(orders!$D261,products!$A$2:$A$49,0),MATCH(orders!K$1,products!$A$1:$G$1,0))</f>
        <v>0.2</v>
      </c>
      <c r="L261" s="12">
        <f>INDEX(products!$A$2:$G$49,MATCH(orders!$D261,products!$A$2:$A$49,0),MATCH(orders!L$1,products!$A$1:$G$1,0))</f>
        <v>2.9849999999999999</v>
      </c>
      <c r="M261" s="12">
        <f t="shared" si="12"/>
        <v>5.97</v>
      </c>
      <c r="N261" s="10" t="str">
        <f t="shared" si="13"/>
        <v>Robusta</v>
      </c>
      <c r="O261" s="10" t="str">
        <f t="shared" si="14"/>
        <v>Medium</v>
      </c>
      <c r="P261" s="10" t="str">
        <f>_xlfn.XLOOKUP(Tableau1[[#This Row],[Customer ID]],customers!A$2:A$1001,customers!I$2:I$1001)</f>
        <v>No</v>
      </c>
    </row>
    <row r="262" spans="1:16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9" t="str">
        <f>_xlfn.XLOOKUP(orders!C262,customers!$A$2:$A$1001,customers!$B$2:$B$1001)</f>
        <v>Tani Taffarello</v>
      </c>
      <c r="G262" s="9" t="str">
        <f>IF(_xlfn.XLOOKUP(orders!C262,customers!$A$2:$A$1001,customers!$C$2:$C$1001,,,)=0,"",_xlfn.XLOOKUP(orders!C262,customers!$A$2:$A$1001,customers!$C$2:$C$1001,,,))</f>
        <v>ttaffarello78@sciencedaily.com</v>
      </c>
      <c r="H262" s="9" t="str">
        <f>_xlfn.XLOOKUP(C262,customers!$A$2:$A$1001,customers!$G$2:$G$1001,"")</f>
        <v>United States</v>
      </c>
      <c r="I262" s="10" t="str">
        <f>INDEX(products!$A$2:$G$49,MATCH(orders!$D262,products!$A$2:$A$49,0),MATCH(orders!I$1,products!$A$1:$G$1,0))</f>
        <v>Rob</v>
      </c>
      <c r="J262" s="10" t="str">
        <f>INDEX(products!$A$2:$G$49,MATCH(orders!$D262,products!$A$2:$A$49,0),MATCH(orders!J$1,products!$A$1:$G$1,0))</f>
        <v>L</v>
      </c>
      <c r="K262" s="11">
        <f>INDEX(products!$A$2:$G$49,MATCH(orders!$D262,products!$A$2:$A$49,0),MATCH(orders!K$1,products!$A$1:$G$1,0))</f>
        <v>2.5</v>
      </c>
      <c r="L262" s="12">
        <f>INDEX(products!$A$2:$G$49,MATCH(orders!$D262,products!$A$2:$A$49,0),MATCH(orders!L$1,products!$A$1:$G$1,0))</f>
        <v>27.484999999999996</v>
      </c>
      <c r="M262" s="12">
        <f t="shared" si="12"/>
        <v>27.484999999999996</v>
      </c>
      <c r="N262" s="10" t="str">
        <f t="shared" si="13"/>
        <v>Robusta</v>
      </c>
      <c r="O262" s="10" t="str">
        <f t="shared" si="14"/>
        <v>Light</v>
      </c>
      <c r="P262" s="10" t="str">
        <f>_xlfn.XLOOKUP(Tableau1[[#This Row],[Customer ID]],customers!A$2:A$1001,customers!I$2:I$1001)</f>
        <v>Yes</v>
      </c>
    </row>
    <row r="263" spans="1:16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9" t="str">
        <f>_xlfn.XLOOKUP(orders!C263,customers!$A$2:$A$1001,customers!$B$2:$B$1001)</f>
        <v>Monique Canty</v>
      </c>
      <c r="G263" s="9" t="str">
        <f>IF(_xlfn.XLOOKUP(orders!C263,customers!$A$2:$A$1001,customers!$C$2:$C$1001,,,)=0,"",_xlfn.XLOOKUP(orders!C263,customers!$A$2:$A$1001,customers!$C$2:$C$1001,,,))</f>
        <v>mcanty79@jigsy.com</v>
      </c>
      <c r="H263" s="9" t="str">
        <f>_xlfn.XLOOKUP(C263,customers!$A$2:$A$1001,customers!$G$2:$G$1001,"")</f>
        <v>United States</v>
      </c>
      <c r="I263" s="10" t="str">
        <f>INDEX(products!$A$2:$G$49,MATCH(orders!$D263,products!$A$2:$A$49,0),MATCH(orders!I$1,products!$A$1:$G$1,0))</f>
        <v>Rob</v>
      </c>
      <c r="J263" s="10" t="str">
        <f>INDEX(products!$A$2:$G$49,MATCH(orders!$D263,products!$A$2:$A$49,0),MATCH(orders!J$1,products!$A$1:$G$1,0))</f>
        <v>L</v>
      </c>
      <c r="K263" s="11">
        <f>INDEX(products!$A$2:$G$49,MATCH(orders!$D263,products!$A$2:$A$49,0),MATCH(orders!K$1,products!$A$1:$G$1,0))</f>
        <v>1</v>
      </c>
      <c r="L263" s="12">
        <f>INDEX(products!$A$2:$G$49,MATCH(orders!$D263,products!$A$2:$A$49,0),MATCH(orders!L$1,products!$A$1:$G$1,0))</f>
        <v>11.95</v>
      </c>
      <c r="M263" s="12">
        <f t="shared" si="12"/>
        <v>59.75</v>
      </c>
      <c r="N263" s="10" t="str">
        <f t="shared" si="13"/>
        <v>Robusta</v>
      </c>
      <c r="O263" s="10" t="str">
        <f t="shared" si="14"/>
        <v>Light</v>
      </c>
      <c r="P263" s="10" t="str">
        <f>_xlfn.XLOOKUP(Tableau1[[#This Row],[Customer ID]],customers!A$2:A$1001,customers!I$2:I$1001)</f>
        <v>Yes</v>
      </c>
    </row>
    <row r="264" spans="1:16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9" t="str">
        <f>_xlfn.XLOOKUP(orders!C264,customers!$A$2:$A$1001,customers!$B$2:$B$1001)</f>
        <v>Javier Kopke</v>
      </c>
      <c r="G264" s="9" t="str">
        <f>IF(_xlfn.XLOOKUP(orders!C264,customers!$A$2:$A$1001,customers!$C$2:$C$1001,,,)=0,"",_xlfn.XLOOKUP(orders!C264,customers!$A$2:$A$1001,customers!$C$2:$C$1001,,,))</f>
        <v>jkopke7a@auda.org.au</v>
      </c>
      <c r="H264" s="9" t="str">
        <f>_xlfn.XLOOKUP(C264,customers!$A$2:$A$1001,customers!$G$2:$G$1001,"")</f>
        <v>United States</v>
      </c>
      <c r="I264" s="10" t="str">
        <f>INDEX(products!$A$2:$G$49,MATCH(orders!$D264,products!$A$2:$A$49,0),MATCH(orders!I$1,products!$A$1:$G$1,0))</f>
        <v>Exc</v>
      </c>
      <c r="J264" s="10" t="str">
        <f>INDEX(products!$A$2:$G$49,MATCH(orders!$D264,products!$A$2:$A$49,0),MATCH(orders!J$1,products!$A$1:$G$1,0))</f>
        <v>M</v>
      </c>
      <c r="K264" s="11">
        <f>INDEX(products!$A$2:$G$49,MATCH(orders!$D264,products!$A$2:$A$49,0),MATCH(orders!K$1,products!$A$1:$G$1,0))</f>
        <v>1</v>
      </c>
      <c r="L264" s="12">
        <f>INDEX(products!$A$2:$G$49,MATCH(orders!$D264,products!$A$2:$A$49,0),MATCH(orders!L$1,products!$A$1:$G$1,0))</f>
        <v>13.75</v>
      </c>
      <c r="M264" s="12">
        <f t="shared" si="12"/>
        <v>41.25</v>
      </c>
      <c r="N264" s="10" t="str">
        <f t="shared" si="13"/>
        <v>Excelsa</v>
      </c>
      <c r="O264" s="10" t="str">
        <f t="shared" si="14"/>
        <v>Medium</v>
      </c>
      <c r="P264" s="10" t="str">
        <f>_xlfn.XLOOKUP(Tableau1[[#This Row],[Customer ID]],customers!A$2:A$1001,customers!I$2:I$1001)</f>
        <v>No</v>
      </c>
    </row>
    <row r="265" spans="1:16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9" t="str">
        <f>_xlfn.XLOOKUP(orders!C265,customers!$A$2:$A$1001,customers!$B$2:$B$1001)</f>
        <v>Mar McIver</v>
      </c>
      <c r="G265" s="9" t="str">
        <f>IF(_xlfn.XLOOKUP(orders!C265,customers!$A$2:$A$1001,customers!$C$2:$C$1001,,,)=0,"",_xlfn.XLOOKUP(orders!C265,customers!$A$2:$A$1001,customers!$C$2:$C$1001,,,))</f>
        <v/>
      </c>
      <c r="H265" s="9" t="str">
        <f>_xlfn.XLOOKUP(C265,customers!$A$2:$A$1001,customers!$G$2:$G$1001,"")</f>
        <v>United States</v>
      </c>
      <c r="I265" s="10" t="str">
        <f>INDEX(products!$A$2:$G$49,MATCH(orders!$D265,products!$A$2:$A$49,0),MATCH(orders!I$1,products!$A$1:$G$1,0))</f>
        <v>Lib</v>
      </c>
      <c r="J265" s="10" t="str">
        <f>INDEX(products!$A$2:$G$49,MATCH(orders!$D265,products!$A$2:$A$49,0),MATCH(orders!J$1,products!$A$1:$G$1,0))</f>
        <v>M</v>
      </c>
      <c r="K265" s="11">
        <f>INDEX(products!$A$2:$G$49,MATCH(orders!$D265,products!$A$2:$A$49,0),MATCH(orders!K$1,products!$A$1:$G$1,0))</f>
        <v>2.5</v>
      </c>
      <c r="L265" s="12">
        <f>INDEX(products!$A$2:$G$49,MATCH(orders!$D265,products!$A$2:$A$49,0),MATCH(orders!L$1,products!$A$1:$G$1,0))</f>
        <v>33.464999999999996</v>
      </c>
      <c r="M265" s="12">
        <f t="shared" si="12"/>
        <v>133.85999999999999</v>
      </c>
      <c r="N265" s="10" t="str">
        <f t="shared" si="13"/>
        <v>Liberica</v>
      </c>
      <c r="O265" s="10" t="str">
        <f t="shared" si="14"/>
        <v>Medium</v>
      </c>
      <c r="P265" s="10" t="str">
        <f>_xlfn.XLOOKUP(Tableau1[[#This Row],[Customer ID]],customers!A$2:A$1001,customers!I$2:I$1001)</f>
        <v>No</v>
      </c>
    </row>
    <row r="266" spans="1:16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9" t="str">
        <f>_xlfn.XLOOKUP(orders!C266,customers!$A$2:$A$1001,customers!$B$2:$B$1001)</f>
        <v>Arabella Fransewich</v>
      </c>
      <c r="G266" s="9" t="str">
        <f>IF(_xlfn.XLOOKUP(orders!C266,customers!$A$2:$A$1001,customers!$C$2:$C$1001,,,)=0,"",_xlfn.XLOOKUP(orders!C266,customers!$A$2:$A$1001,customers!$C$2:$C$1001,,,))</f>
        <v/>
      </c>
      <c r="H266" s="9" t="str">
        <f>_xlfn.XLOOKUP(C266,customers!$A$2:$A$1001,customers!$G$2:$G$1001,"")</f>
        <v>Ireland</v>
      </c>
      <c r="I266" s="10" t="str">
        <f>INDEX(products!$A$2:$G$49,MATCH(orders!$D266,products!$A$2:$A$49,0),MATCH(orders!I$1,products!$A$1:$G$1,0))</f>
        <v>Rob</v>
      </c>
      <c r="J266" s="10" t="str">
        <f>INDEX(products!$A$2:$G$49,MATCH(orders!$D266,products!$A$2:$A$49,0),MATCH(orders!J$1,products!$A$1:$G$1,0))</f>
        <v>L</v>
      </c>
      <c r="K266" s="11">
        <f>INDEX(products!$A$2:$G$49,MATCH(orders!$D266,products!$A$2:$A$49,0),MATCH(orders!K$1,products!$A$1:$G$1,0))</f>
        <v>1</v>
      </c>
      <c r="L266" s="12">
        <f>INDEX(products!$A$2:$G$49,MATCH(orders!$D266,products!$A$2:$A$49,0),MATCH(orders!L$1,products!$A$1:$G$1,0))</f>
        <v>11.95</v>
      </c>
      <c r="M266" s="12">
        <f t="shared" si="12"/>
        <v>59.75</v>
      </c>
      <c r="N266" s="10" t="str">
        <f t="shared" si="13"/>
        <v>Robusta</v>
      </c>
      <c r="O266" s="10" t="str">
        <f t="shared" si="14"/>
        <v>Light</v>
      </c>
      <c r="P266" s="10" t="str">
        <f>_xlfn.XLOOKUP(Tableau1[[#This Row],[Customer ID]],customers!A$2:A$1001,customers!I$2:I$1001)</f>
        <v>Yes</v>
      </c>
    </row>
    <row r="267" spans="1:16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9" t="str">
        <f>_xlfn.XLOOKUP(orders!C267,customers!$A$2:$A$1001,customers!$B$2:$B$1001)</f>
        <v>Violette Hellmore</v>
      </c>
      <c r="G267" s="9" t="str">
        <f>IF(_xlfn.XLOOKUP(orders!C267,customers!$A$2:$A$1001,customers!$C$2:$C$1001,,,)=0,"",_xlfn.XLOOKUP(orders!C267,customers!$A$2:$A$1001,customers!$C$2:$C$1001,,,))</f>
        <v>vhellmore7d@bbc.co.uk</v>
      </c>
      <c r="H267" s="9" t="str">
        <f>_xlfn.XLOOKUP(C267,customers!$A$2:$A$1001,customers!$G$2:$G$1001,"")</f>
        <v>United States</v>
      </c>
      <c r="I267" s="10" t="str">
        <f>INDEX(products!$A$2:$G$49,MATCH(orders!$D267,products!$A$2:$A$49,0),MATCH(orders!I$1,products!$A$1:$G$1,0))</f>
        <v>Ara</v>
      </c>
      <c r="J267" s="10" t="str">
        <f>INDEX(products!$A$2:$G$49,MATCH(orders!$D267,products!$A$2:$A$49,0),MATCH(orders!J$1,products!$A$1:$G$1,0))</f>
        <v>D</v>
      </c>
      <c r="K267" s="11">
        <f>INDEX(products!$A$2:$G$49,MATCH(orders!$D267,products!$A$2:$A$49,0),MATCH(orders!K$1,products!$A$1:$G$1,0))</f>
        <v>0.5</v>
      </c>
      <c r="L267" s="12">
        <f>INDEX(products!$A$2:$G$49,MATCH(orders!$D267,products!$A$2:$A$49,0),MATCH(orders!L$1,products!$A$1:$G$1,0))</f>
        <v>5.97</v>
      </c>
      <c r="M267" s="12">
        <f t="shared" si="12"/>
        <v>5.97</v>
      </c>
      <c r="N267" s="10" t="str">
        <f t="shared" si="13"/>
        <v>Arabica</v>
      </c>
      <c r="O267" s="10" t="str">
        <f t="shared" si="14"/>
        <v>Dark</v>
      </c>
      <c r="P267" s="10" t="str">
        <f>_xlfn.XLOOKUP(Tableau1[[#This Row],[Customer ID]],customers!A$2:A$1001,customers!I$2:I$1001)</f>
        <v>Yes</v>
      </c>
    </row>
    <row r="268" spans="1:16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9" t="str">
        <f>_xlfn.XLOOKUP(orders!C268,customers!$A$2:$A$1001,customers!$B$2:$B$1001)</f>
        <v>Myles Seawright</v>
      </c>
      <c r="G268" s="9" t="str">
        <f>IF(_xlfn.XLOOKUP(orders!C268,customers!$A$2:$A$1001,customers!$C$2:$C$1001,,,)=0,"",_xlfn.XLOOKUP(orders!C268,customers!$A$2:$A$1001,customers!$C$2:$C$1001,,,))</f>
        <v>mseawright7e@nbcnews.com</v>
      </c>
      <c r="H268" s="9" t="str">
        <f>_xlfn.XLOOKUP(C268,customers!$A$2:$A$1001,customers!$G$2:$G$1001,"")</f>
        <v>United Kingdom</v>
      </c>
      <c r="I268" s="10" t="str">
        <f>INDEX(products!$A$2:$G$49,MATCH(orders!$D268,products!$A$2:$A$49,0),MATCH(orders!I$1,products!$A$1:$G$1,0))</f>
        <v>Exc</v>
      </c>
      <c r="J268" s="10" t="str">
        <f>INDEX(products!$A$2:$G$49,MATCH(orders!$D268,products!$A$2:$A$49,0),MATCH(orders!J$1,products!$A$1:$G$1,0))</f>
        <v>D</v>
      </c>
      <c r="K268" s="11">
        <f>INDEX(products!$A$2:$G$49,MATCH(orders!$D268,products!$A$2:$A$49,0),MATCH(orders!K$1,products!$A$1:$G$1,0))</f>
        <v>1</v>
      </c>
      <c r="L268" s="12">
        <f>INDEX(products!$A$2:$G$49,MATCH(orders!$D268,products!$A$2:$A$49,0),MATCH(orders!L$1,products!$A$1:$G$1,0))</f>
        <v>12.15</v>
      </c>
      <c r="M268" s="12">
        <f t="shared" si="12"/>
        <v>24.3</v>
      </c>
      <c r="N268" s="10" t="str">
        <f t="shared" si="13"/>
        <v>Excelsa</v>
      </c>
      <c r="O268" s="10" t="str">
        <f t="shared" si="14"/>
        <v>Dark</v>
      </c>
      <c r="P268" s="10" t="str">
        <f>_xlfn.XLOOKUP(Tableau1[[#This Row],[Customer ID]],customers!A$2:A$1001,customers!I$2:I$1001)</f>
        <v>No</v>
      </c>
    </row>
    <row r="269" spans="1:16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9" t="str">
        <f>_xlfn.XLOOKUP(orders!C269,customers!$A$2:$A$1001,customers!$B$2:$B$1001)</f>
        <v>Silvana Northeast</v>
      </c>
      <c r="G269" s="9" t="str">
        <f>IF(_xlfn.XLOOKUP(orders!C269,customers!$A$2:$A$1001,customers!$C$2:$C$1001,,,)=0,"",_xlfn.XLOOKUP(orders!C269,customers!$A$2:$A$1001,customers!$C$2:$C$1001,,,))</f>
        <v>snortheast7f@mashable.com</v>
      </c>
      <c r="H269" s="9" t="str">
        <f>_xlfn.XLOOKUP(C269,customers!$A$2:$A$1001,customers!$G$2:$G$1001,"")</f>
        <v>United States</v>
      </c>
      <c r="I269" s="10" t="str">
        <f>INDEX(products!$A$2:$G$49,MATCH(orders!$D269,products!$A$2:$A$49,0),MATCH(orders!I$1,products!$A$1:$G$1,0))</f>
        <v>Exc</v>
      </c>
      <c r="J269" s="10" t="str">
        <f>INDEX(products!$A$2:$G$49,MATCH(orders!$D269,products!$A$2:$A$49,0),MATCH(orders!J$1,products!$A$1:$G$1,0))</f>
        <v>D</v>
      </c>
      <c r="K269" s="11">
        <f>INDEX(products!$A$2:$G$49,MATCH(orders!$D269,products!$A$2:$A$49,0),MATCH(orders!K$1,products!$A$1:$G$1,0))</f>
        <v>0.2</v>
      </c>
      <c r="L269" s="12">
        <f>INDEX(products!$A$2:$G$49,MATCH(orders!$D269,products!$A$2:$A$49,0),MATCH(orders!L$1,products!$A$1:$G$1,0))</f>
        <v>3.645</v>
      </c>
      <c r="M269" s="12">
        <f t="shared" si="12"/>
        <v>21.87</v>
      </c>
      <c r="N269" s="10" t="str">
        <f t="shared" si="13"/>
        <v>Excelsa</v>
      </c>
      <c r="O269" s="10" t="str">
        <f t="shared" si="14"/>
        <v>Dark</v>
      </c>
      <c r="P269" s="10" t="str">
        <f>_xlfn.XLOOKUP(Tableau1[[#This Row],[Customer ID]],customers!A$2:A$1001,customers!I$2:I$1001)</f>
        <v>Yes</v>
      </c>
    </row>
    <row r="270" spans="1:16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9" t="str">
        <f>_xlfn.XLOOKUP(orders!C270,customers!$A$2:$A$1001,customers!$B$2:$B$1001)</f>
        <v>Anselma Attwater</v>
      </c>
      <c r="G270" s="9" t="str">
        <f>IF(_xlfn.XLOOKUP(orders!C270,customers!$A$2:$A$1001,customers!$C$2:$C$1001,,,)=0,"",_xlfn.XLOOKUP(orders!C270,customers!$A$2:$A$1001,customers!$C$2:$C$1001,,,))</f>
        <v>aattwater5u@wikia.com</v>
      </c>
      <c r="H270" s="9" t="str">
        <f>_xlfn.XLOOKUP(C270,customers!$A$2:$A$1001,customers!$G$2:$G$1001,"")</f>
        <v>United States</v>
      </c>
      <c r="I270" s="10" t="str">
        <f>INDEX(products!$A$2:$G$49,MATCH(orders!$D270,products!$A$2:$A$49,0),MATCH(orders!I$1,products!$A$1:$G$1,0))</f>
        <v>Ara</v>
      </c>
      <c r="J270" s="10" t="str">
        <f>INDEX(products!$A$2:$G$49,MATCH(orders!$D270,products!$A$2:$A$49,0),MATCH(orders!J$1,products!$A$1:$G$1,0))</f>
        <v>D</v>
      </c>
      <c r="K270" s="11">
        <f>INDEX(products!$A$2:$G$49,MATCH(orders!$D270,products!$A$2:$A$49,0),MATCH(orders!K$1,products!$A$1:$G$1,0))</f>
        <v>1</v>
      </c>
      <c r="L270" s="12">
        <f>INDEX(products!$A$2:$G$49,MATCH(orders!$D270,products!$A$2:$A$49,0),MATCH(orders!L$1,products!$A$1:$G$1,0))</f>
        <v>9.9499999999999993</v>
      </c>
      <c r="M270" s="12">
        <f t="shared" si="12"/>
        <v>19.899999999999999</v>
      </c>
      <c r="N270" s="10" t="str">
        <f t="shared" si="13"/>
        <v>Arabica</v>
      </c>
      <c r="O270" s="10" t="str">
        <f t="shared" si="14"/>
        <v>Dark</v>
      </c>
      <c r="P270" s="10" t="str">
        <f>_xlfn.XLOOKUP(Tableau1[[#This Row],[Customer ID]],customers!A$2:A$1001,customers!I$2:I$1001)</f>
        <v>Yes</v>
      </c>
    </row>
    <row r="271" spans="1:16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9" t="str">
        <f>_xlfn.XLOOKUP(orders!C271,customers!$A$2:$A$1001,customers!$B$2:$B$1001)</f>
        <v>Monica Fearon</v>
      </c>
      <c r="G271" s="9" t="str">
        <f>IF(_xlfn.XLOOKUP(orders!C271,customers!$A$2:$A$1001,customers!$C$2:$C$1001,,,)=0,"",_xlfn.XLOOKUP(orders!C271,customers!$A$2:$A$1001,customers!$C$2:$C$1001,,,))</f>
        <v>mfearon7h@reverbnation.com</v>
      </c>
      <c r="H271" s="9" t="str">
        <f>_xlfn.XLOOKUP(C271,customers!$A$2:$A$1001,customers!$G$2:$G$1001,"")</f>
        <v>United States</v>
      </c>
      <c r="I271" s="10" t="str">
        <f>INDEX(products!$A$2:$G$49,MATCH(orders!$D271,products!$A$2:$A$49,0),MATCH(orders!I$1,products!$A$1:$G$1,0))</f>
        <v>Ara</v>
      </c>
      <c r="J271" s="10" t="str">
        <f>INDEX(products!$A$2:$G$49,MATCH(orders!$D271,products!$A$2:$A$49,0),MATCH(orders!J$1,products!$A$1:$G$1,0))</f>
        <v>D</v>
      </c>
      <c r="K271" s="11">
        <f>INDEX(products!$A$2:$G$49,MATCH(orders!$D271,products!$A$2:$A$49,0),MATCH(orders!K$1,products!$A$1:$G$1,0))</f>
        <v>0.2</v>
      </c>
      <c r="L271" s="12">
        <f>INDEX(products!$A$2:$G$49,MATCH(orders!$D271,products!$A$2:$A$49,0),MATCH(orders!L$1,products!$A$1:$G$1,0))</f>
        <v>2.9849999999999999</v>
      </c>
      <c r="M271" s="12">
        <f t="shared" si="12"/>
        <v>5.97</v>
      </c>
      <c r="N271" s="10" t="str">
        <f t="shared" si="13"/>
        <v>Arabica</v>
      </c>
      <c r="O271" s="10" t="str">
        <f t="shared" si="14"/>
        <v>Dark</v>
      </c>
      <c r="P271" s="10" t="str">
        <f>_xlfn.XLOOKUP(Tableau1[[#This Row],[Customer ID]],customers!A$2:A$1001,customers!I$2:I$1001)</f>
        <v>No</v>
      </c>
    </row>
    <row r="272" spans="1:16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9" t="str">
        <f>_xlfn.XLOOKUP(orders!C272,customers!$A$2:$A$1001,customers!$B$2:$B$1001)</f>
        <v>Barney Chisnell</v>
      </c>
      <c r="G272" s="9" t="str">
        <f>IF(_xlfn.XLOOKUP(orders!C272,customers!$A$2:$A$1001,customers!$C$2:$C$1001,,,)=0,"",_xlfn.XLOOKUP(orders!C272,customers!$A$2:$A$1001,customers!$C$2:$C$1001,,,))</f>
        <v/>
      </c>
      <c r="H272" s="9" t="str">
        <f>_xlfn.XLOOKUP(C272,customers!$A$2:$A$1001,customers!$G$2:$G$1001,"")</f>
        <v>Ireland</v>
      </c>
      <c r="I272" s="10" t="str">
        <f>INDEX(products!$A$2:$G$49,MATCH(orders!$D272,products!$A$2:$A$49,0),MATCH(orders!I$1,products!$A$1:$G$1,0))</f>
        <v>Exc</v>
      </c>
      <c r="J272" s="10" t="str">
        <f>INDEX(products!$A$2:$G$49,MATCH(orders!$D272,products!$A$2:$A$49,0),MATCH(orders!J$1,products!$A$1:$G$1,0))</f>
        <v>D</v>
      </c>
      <c r="K272" s="11">
        <f>INDEX(products!$A$2:$G$49,MATCH(orders!$D272,products!$A$2:$A$49,0),MATCH(orders!K$1,products!$A$1:$G$1,0))</f>
        <v>0.5</v>
      </c>
      <c r="L272" s="12">
        <f>INDEX(products!$A$2:$G$49,MATCH(orders!$D272,products!$A$2:$A$49,0),MATCH(orders!L$1,products!$A$1:$G$1,0))</f>
        <v>7.29</v>
      </c>
      <c r="M272" s="12">
        <f t="shared" si="12"/>
        <v>7.29</v>
      </c>
      <c r="N272" s="10" t="str">
        <f t="shared" si="13"/>
        <v>Excelsa</v>
      </c>
      <c r="O272" s="10" t="str">
        <f t="shared" si="14"/>
        <v>Dark</v>
      </c>
      <c r="P272" s="10" t="str">
        <f>_xlfn.XLOOKUP(Tableau1[[#This Row],[Customer ID]],customers!A$2:A$1001,customers!I$2:I$1001)</f>
        <v>Yes</v>
      </c>
    </row>
    <row r="273" spans="1:16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9" t="str">
        <f>_xlfn.XLOOKUP(orders!C273,customers!$A$2:$A$1001,customers!$B$2:$B$1001)</f>
        <v>Jasper Sisneros</v>
      </c>
      <c r="G273" s="9" t="str">
        <f>IF(_xlfn.XLOOKUP(orders!C273,customers!$A$2:$A$1001,customers!$C$2:$C$1001,,,)=0,"",_xlfn.XLOOKUP(orders!C273,customers!$A$2:$A$1001,customers!$C$2:$C$1001,,,))</f>
        <v>jsisneros7j@a8.net</v>
      </c>
      <c r="H273" s="9" t="str">
        <f>_xlfn.XLOOKUP(C273,customers!$A$2:$A$1001,customers!$G$2:$G$1001,"")</f>
        <v>United States</v>
      </c>
      <c r="I273" s="10" t="str">
        <f>INDEX(products!$A$2:$G$49,MATCH(orders!$D273,products!$A$2:$A$49,0),MATCH(orders!I$1,products!$A$1:$G$1,0))</f>
        <v>Ara</v>
      </c>
      <c r="J273" s="10" t="str">
        <f>INDEX(products!$A$2:$G$49,MATCH(orders!$D273,products!$A$2:$A$49,0),MATCH(orders!J$1,products!$A$1:$G$1,0))</f>
        <v>D</v>
      </c>
      <c r="K273" s="11">
        <f>INDEX(products!$A$2:$G$49,MATCH(orders!$D273,products!$A$2:$A$49,0),MATCH(orders!K$1,products!$A$1:$G$1,0))</f>
        <v>0.2</v>
      </c>
      <c r="L273" s="12">
        <f>INDEX(products!$A$2:$G$49,MATCH(orders!$D273,products!$A$2:$A$49,0),MATCH(orders!L$1,products!$A$1:$G$1,0))</f>
        <v>2.9849999999999999</v>
      </c>
      <c r="M273" s="12">
        <f t="shared" si="12"/>
        <v>11.94</v>
      </c>
      <c r="N273" s="10" t="str">
        <f t="shared" si="13"/>
        <v>Arabica</v>
      </c>
      <c r="O273" s="10" t="str">
        <f t="shared" si="14"/>
        <v>Dark</v>
      </c>
      <c r="P273" s="10" t="str">
        <f>_xlfn.XLOOKUP(Tableau1[[#This Row],[Customer ID]],customers!A$2:A$1001,customers!I$2:I$1001)</f>
        <v>Yes</v>
      </c>
    </row>
    <row r="274" spans="1:16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9" t="str">
        <f>_xlfn.XLOOKUP(orders!C274,customers!$A$2:$A$1001,customers!$B$2:$B$1001)</f>
        <v>Zachariah Carlson</v>
      </c>
      <c r="G274" s="9" t="str">
        <f>IF(_xlfn.XLOOKUP(orders!C274,customers!$A$2:$A$1001,customers!$C$2:$C$1001,,,)=0,"",_xlfn.XLOOKUP(orders!C274,customers!$A$2:$A$1001,customers!$C$2:$C$1001,,,))</f>
        <v>zcarlson7k@bigcartel.com</v>
      </c>
      <c r="H274" s="9" t="str">
        <f>_xlfn.XLOOKUP(C274,customers!$A$2:$A$1001,customers!$G$2:$G$1001,"")</f>
        <v>Ireland</v>
      </c>
      <c r="I274" s="10" t="str">
        <f>INDEX(products!$A$2:$G$49,MATCH(orders!$D274,products!$A$2:$A$49,0),MATCH(orders!I$1,products!$A$1:$G$1,0))</f>
        <v>Rob</v>
      </c>
      <c r="J274" s="10" t="str">
        <f>INDEX(products!$A$2:$G$49,MATCH(orders!$D274,products!$A$2:$A$49,0),MATCH(orders!J$1,products!$A$1:$G$1,0))</f>
        <v>L</v>
      </c>
      <c r="K274" s="11">
        <f>INDEX(products!$A$2:$G$49,MATCH(orders!$D274,products!$A$2:$A$49,0),MATCH(orders!K$1,products!$A$1:$G$1,0))</f>
        <v>1</v>
      </c>
      <c r="L274" s="12">
        <f>INDEX(products!$A$2:$G$49,MATCH(orders!$D274,products!$A$2:$A$49,0),MATCH(orders!L$1,products!$A$1:$G$1,0))</f>
        <v>11.95</v>
      </c>
      <c r="M274" s="12">
        <f t="shared" si="12"/>
        <v>71.699999999999989</v>
      </c>
      <c r="N274" s="10" t="str">
        <f t="shared" si="13"/>
        <v>Robusta</v>
      </c>
      <c r="O274" s="10" t="str">
        <f t="shared" si="14"/>
        <v>Light</v>
      </c>
      <c r="P274" s="10" t="str">
        <f>_xlfn.XLOOKUP(Tableau1[[#This Row],[Customer ID]],customers!A$2:A$1001,customers!I$2:I$1001)</f>
        <v>Yes</v>
      </c>
    </row>
    <row r="275" spans="1:16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9" t="str">
        <f>_xlfn.XLOOKUP(orders!C275,customers!$A$2:$A$1001,customers!$B$2:$B$1001)</f>
        <v>Warner Maddox</v>
      </c>
      <c r="G275" s="9" t="str">
        <f>IF(_xlfn.XLOOKUP(orders!C275,customers!$A$2:$A$1001,customers!$C$2:$C$1001,,,)=0,"",_xlfn.XLOOKUP(orders!C275,customers!$A$2:$A$1001,customers!$C$2:$C$1001,,,))</f>
        <v>wmaddox7l@timesonline.co.uk</v>
      </c>
      <c r="H275" s="9" t="str">
        <f>_xlfn.XLOOKUP(C275,customers!$A$2:$A$1001,customers!$G$2:$G$1001,"")</f>
        <v>United States</v>
      </c>
      <c r="I275" s="10" t="str">
        <f>INDEX(products!$A$2:$G$49,MATCH(orders!$D275,products!$A$2:$A$49,0),MATCH(orders!I$1,products!$A$1:$G$1,0))</f>
        <v>Ara</v>
      </c>
      <c r="J275" s="10" t="str">
        <f>INDEX(products!$A$2:$G$49,MATCH(orders!$D275,products!$A$2:$A$49,0),MATCH(orders!J$1,products!$A$1:$G$1,0))</f>
        <v>L</v>
      </c>
      <c r="K275" s="11">
        <f>INDEX(products!$A$2:$G$49,MATCH(orders!$D275,products!$A$2:$A$49,0),MATCH(orders!K$1,products!$A$1:$G$1,0))</f>
        <v>0.2</v>
      </c>
      <c r="L275" s="12">
        <f>INDEX(products!$A$2:$G$49,MATCH(orders!$D275,products!$A$2:$A$49,0),MATCH(orders!L$1,products!$A$1:$G$1,0))</f>
        <v>3.8849999999999998</v>
      </c>
      <c r="M275" s="12">
        <f t="shared" si="12"/>
        <v>7.77</v>
      </c>
      <c r="N275" s="10" t="str">
        <f t="shared" si="13"/>
        <v>Arabica</v>
      </c>
      <c r="O275" s="10" t="str">
        <f t="shared" si="14"/>
        <v>Light</v>
      </c>
      <c r="P275" s="10" t="str">
        <f>_xlfn.XLOOKUP(Tableau1[[#This Row],[Customer ID]],customers!A$2:A$1001,customers!I$2:I$1001)</f>
        <v>No</v>
      </c>
    </row>
    <row r="276" spans="1:16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9" t="str">
        <f>_xlfn.XLOOKUP(orders!C276,customers!$A$2:$A$1001,customers!$B$2:$B$1001)</f>
        <v>Donnie Hedlestone</v>
      </c>
      <c r="G276" s="9" t="str">
        <f>IF(_xlfn.XLOOKUP(orders!C276,customers!$A$2:$A$1001,customers!$C$2:$C$1001,,,)=0,"",_xlfn.XLOOKUP(orders!C276,customers!$A$2:$A$1001,customers!$C$2:$C$1001,,,))</f>
        <v>dhedlestone7m@craigslist.org</v>
      </c>
      <c r="H276" s="9" t="str">
        <f>_xlfn.XLOOKUP(C276,customers!$A$2:$A$1001,customers!$G$2:$G$1001,"")</f>
        <v>United States</v>
      </c>
      <c r="I276" s="10" t="str">
        <f>INDEX(products!$A$2:$G$49,MATCH(orders!$D276,products!$A$2:$A$49,0),MATCH(orders!I$1,products!$A$1:$G$1,0))</f>
        <v>Ara</v>
      </c>
      <c r="J276" s="10" t="str">
        <f>INDEX(products!$A$2:$G$49,MATCH(orders!$D276,products!$A$2:$A$49,0),MATCH(orders!J$1,products!$A$1:$G$1,0))</f>
        <v>M</v>
      </c>
      <c r="K276" s="11">
        <f>INDEX(products!$A$2:$G$49,MATCH(orders!$D276,products!$A$2:$A$49,0),MATCH(orders!K$1,products!$A$1:$G$1,0))</f>
        <v>2.5</v>
      </c>
      <c r="L276" s="12">
        <f>INDEX(products!$A$2:$G$49,MATCH(orders!$D276,products!$A$2:$A$49,0),MATCH(orders!L$1,products!$A$1:$G$1,0))</f>
        <v>25.874999999999996</v>
      </c>
      <c r="M276" s="12">
        <f t="shared" si="12"/>
        <v>25.874999999999996</v>
      </c>
      <c r="N276" s="10" t="str">
        <f t="shared" si="13"/>
        <v>Arabica</v>
      </c>
      <c r="O276" s="10" t="str">
        <f t="shared" si="14"/>
        <v>Medium</v>
      </c>
      <c r="P276" s="10" t="str">
        <f>_xlfn.XLOOKUP(Tableau1[[#This Row],[Customer ID]],customers!A$2:A$1001,customers!I$2:I$1001)</f>
        <v>No</v>
      </c>
    </row>
    <row r="277" spans="1:16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9" t="str">
        <f>_xlfn.XLOOKUP(orders!C277,customers!$A$2:$A$1001,customers!$B$2:$B$1001)</f>
        <v>Teddi Crowthe</v>
      </c>
      <c r="G277" s="9" t="str">
        <f>IF(_xlfn.XLOOKUP(orders!C277,customers!$A$2:$A$1001,customers!$C$2:$C$1001,,,)=0,"",_xlfn.XLOOKUP(orders!C277,customers!$A$2:$A$1001,customers!$C$2:$C$1001,,,))</f>
        <v>tcrowthe7n@europa.eu</v>
      </c>
      <c r="H277" s="9" t="str">
        <f>_xlfn.XLOOKUP(C277,customers!$A$2:$A$1001,customers!$G$2:$G$1001,"")</f>
        <v>United States</v>
      </c>
      <c r="I277" s="10" t="str">
        <f>INDEX(products!$A$2:$G$49,MATCH(orders!$D277,products!$A$2:$A$49,0),MATCH(orders!I$1,products!$A$1:$G$1,0))</f>
        <v>Exc</v>
      </c>
      <c r="J277" s="10" t="str">
        <f>INDEX(products!$A$2:$G$49,MATCH(orders!$D277,products!$A$2:$A$49,0),MATCH(orders!J$1,products!$A$1:$G$1,0))</f>
        <v>L</v>
      </c>
      <c r="K277" s="11">
        <f>INDEX(products!$A$2:$G$49,MATCH(orders!$D277,products!$A$2:$A$49,0),MATCH(orders!K$1,products!$A$1:$G$1,0))</f>
        <v>2.5</v>
      </c>
      <c r="L277" s="12">
        <f>INDEX(products!$A$2:$G$49,MATCH(orders!$D277,products!$A$2:$A$49,0),MATCH(orders!L$1,products!$A$1:$G$1,0))</f>
        <v>34.154999999999994</v>
      </c>
      <c r="M277" s="12">
        <f t="shared" si="12"/>
        <v>204.92999999999995</v>
      </c>
      <c r="N277" s="10" t="str">
        <f t="shared" si="13"/>
        <v>Excelsa</v>
      </c>
      <c r="O277" s="10" t="str">
        <f t="shared" si="14"/>
        <v>Light</v>
      </c>
      <c r="P277" s="10" t="str">
        <f>_xlfn.XLOOKUP(Tableau1[[#This Row],[Customer ID]],customers!A$2:A$1001,customers!I$2:I$1001)</f>
        <v>No</v>
      </c>
    </row>
    <row r="278" spans="1:16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9" t="str">
        <f>_xlfn.XLOOKUP(orders!C278,customers!$A$2:$A$1001,customers!$B$2:$B$1001)</f>
        <v>Dorelia Bury</v>
      </c>
      <c r="G278" s="9" t="str">
        <f>IF(_xlfn.XLOOKUP(orders!C278,customers!$A$2:$A$1001,customers!$C$2:$C$1001,,,)=0,"",_xlfn.XLOOKUP(orders!C278,customers!$A$2:$A$1001,customers!$C$2:$C$1001,,,))</f>
        <v>dbury7o@tinyurl.com</v>
      </c>
      <c r="H278" s="9" t="str">
        <f>_xlfn.XLOOKUP(C278,customers!$A$2:$A$1001,customers!$G$2:$G$1001,"")</f>
        <v>Ireland</v>
      </c>
      <c r="I278" s="10" t="str">
        <f>INDEX(products!$A$2:$G$49,MATCH(orders!$D278,products!$A$2:$A$49,0),MATCH(orders!I$1,products!$A$1:$G$1,0))</f>
        <v>Rob</v>
      </c>
      <c r="J278" s="10" t="str">
        <f>INDEX(products!$A$2:$G$49,MATCH(orders!$D278,products!$A$2:$A$49,0),MATCH(orders!J$1,products!$A$1:$G$1,0))</f>
        <v>L</v>
      </c>
      <c r="K278" s="11">
        <f>INDEX(products!$A$2:$G$49,MATCH(orders!$D278,products!$A$2:$A$49,0),MATCH(orders!K$1,products!$A$1:$G$1,0))</f>
        <v>2.5</v>
      </c>
      <c r="L278" s="12">
        <f>INDEX(products!$A$2:$G$49,MATCH(orders!$D278,products!$A$2:$A$49,0),MATCH(orders!L$1,products!$A$1:$G$1,0))</f>
        <v>27.484999999999996</v>
      </c>
      <c r="M278" s="12">
        <f t="shared" si="12"/>
        <v>109.93999999999998</v>
      </c>
      <c r="N278" s="10" t="str">
        <f t="shared" si="13"/>
        <v>Robusta</v>
      </c>
      <c r="O278" s="10" t="str">
        <f t="shared" si="14"/>
        <v>Light</v>
      </c>
      <c r="P278" s="10" t="str">
        <f>_xlfn.XLOOKUP(Tableau1[[#This Row],[Customer ID]],customers!A$2:A$1001,customers!I$2:I$1001)</f>
        <v>Yes</v>
      </c>
    </row>
    <row r="279" spans="1:16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9" t="str">
        <f>_xlfn.XLOOKUP(orders!C279,customers!$A$2:$A$1001,customers!$B$2:$B$1001)</f>
        <v>Gussy Broadbear</v>
      </c>
      <c r="G279" s="9" t="str">
        <f>IF(_xlfn.XLOOKUP(orders!C279,customers!$A$2:$A$1001,customers!$C$2:$C$1001,,,)=0,"",_xlfn.XLOOKUP(orders!C279,customers!$A$2:$A$1001,customers!$C$2:$C$1001,,,))</f>
        <v>gbroadbear7p@omniture.com</v>
      </c>
      <c r="H279" s="9" t="str">
        <f>_xlfn.XLOOKUP(C279,customers!$A$2:$A$1001,customers!$G$2:$G$1001,"")</f>
        <v>United States</v>
      </c>
      <c r="I279" s="10" t="str">
        <f>INDEX(products!$A$2:$G$49,MATCH(orders!$D279,products!$A$2:$A$49,0),MATCH(orders!I$1,products!$A$1:$G$1,0))</f>
        <v>Exc</v>
      </c>
      <c r="J279" s="10" t="str">
        <f>INDEX(products!$A$2:$G$49,MATCH(orders!$D279,products!$A$2:$A$49,0),MATCH(orders!J$1,products!$A$1:$G$1,0))</f>
        <v>L</v>
      </c>
      <c r="K279" s="11">
        <f>INDEX(products!$A$2:$G$49,MATCH(orders!$D279,products!$A$2:$A$49,0),MATCH(orders!K$1,products!$A$1:$G$1,0))</f>
        <v>1</v>
      </c>
      <c r="L279" s="12">
        <f>INDEX(products!$A$2:$G$49,MATCH(orders!$D279,products!$A$2:$A$49,0),MATCH(orders!L$1,products!$A$1:$G$1,0))</f>
        <v>14.85</v>
      </c>
      <c r="M279" s="12">
        <f t="shared" si="12"/>
        <v>89.1</v>
      </c>
      <c r="N279" s="10" t="str">
        <f t="shared" si="13"/>
        <v>Excelsa</v>
      </c>
      <c r="O279" s="10" t="str">
        <f t="shared" si="14"/>
        <v>Light</v>
      </c>
      <c r="P279" s="10" t="str">
        <f>_xlfn.XLOOKUP(Tableau1[[#This Row],[Customer ID]],customers!A$2:A$1001,customers!I$2:I$1001)</f>
        <v>No</v>
      </c>
    </row>
    <row r="280" spans="1:16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9" t="str">
        <f>_xlfn.XLOOKUP(orders!C280,customers!$A$2:$A$1001,customers!$B$2:$B$1001)</f>
        <v>Emlynne Palfrey</v>
      </c>
      <c r="G280" s="9" t="str">
        <f>IF(_xlfn.XLOOKUP(orders!C280,customers!$A$2:$A$1001,customers!$C$2:$C$1001,,,)=0,"",_xlfn.XLOOKUP(orders!C280,customers!$A$2:$A$1001,customers!$C$2:$C$1001,,,))</f>
        <v>epalfrey7q@devhub.com</v>
      </c>
      <c r="H280" s="9" t="str">
        <f>_xlfn.XLOOKUP(C280,customers!$A$2:$A$1001,customers!$G$2:$G$1001,"")</f>
        <v>United States</v>
      </c>
      <c r="I280" s="10" t="str">
        <f>INDEX(products!$A$2:$G$49,MATCH(orders!$D280,products!$A$2:$A$49,0),MATCH(orders!I$1,products!$A$1:$G$1,0))</f>
        <v>Ara</v>
      </c>
      <c r="J280" s="10" t="str">
        <f>INDEX(products!$A$2:$G$49,MATCH(orders!$D280,products!$A$2:$A$49,0),MATCH(orders!J$1,products!$A$1:$G$1,0))</f>
        <v>L</v>
      </c>
      <c r="K280" s="11">
        <f>INDEX(products!$A$2:$G$49,MATCH(orders!$D280,products!$A$2:$A$49,0),MATCH(orders!K$1,products!$A$1:$G$1,0))</f>
        <v>0.2</v>
      </c>
      <c r="L280" s="12">
        <f>INDEX(products!$A$2:$G$49,MATCH(orders!$D280,products!$A$2:$A$49,0),MATCH(orders!L$1,products!$A$1:$G$1,0))</f>
        <v>3.8849999999999998</v>
      </c>
      <c r="M280" s="12">
        <f t="shared" si="12"/>
        <v>7.77</v>
      </c>
      <c r="N280" s="10" t="str">
        <f t="shared" si="13"/>
        <v>Arabica</v>
      </c>
      <c r="O280" s="10" t="str">
        <f t="shared" si="14"/>
        <v>Light</v>
      </c>
      <c r="P280" s="10" t="str">
        <f>_xlfn.XLOOKUP(Tableau1[[#This Row],[Customer ID]],customers!A$2:A$1001,customers!I$2:I$1001)</f>
        <v>Yes</v>
      </c>
    </row>
    <row r="281" spans="1:16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9" t="str">
        <f>_xlfn.XLOOKUP(orders!C281,customers!$A$2:$A$1001,customers!$B$2:$B$1001)</f>
        <v>Parsifal Metrick</v>
      </c>
      <c r="G281" s="9" t="str">
        <f>IF(_xlfn.XLOOKUP(orders!C281,customers!$A$2:$A$1001,customers!$C$2:$C$1001,,,)=0,"",_xlfn.XLOOKUP(orders!C281,customers!$A$2:$A$1001,customers!$C$2:$C$1001,,,))</f>
        <v>pmetrick7r@rakuten.co.jp</v>
      </c>
      <c r="H281" s="9" t="str">
        <f>_xlfn.XLOOKUP(C281,customers!$A$2:$A$1001,customers!$G$2:$G$1001,"")</f>
        <v>United States</v>
      </c>
      <c r="I281" s="10" t="str">
        <f>INDEX(products!$A$2:$G$49,MATCH(orders!$D281,products!$A$2:$A$49,0),MATCH(orders!I$1,products!$A$1:$G$1,0))</f>
        <v>Lib</v>
      </c>
      <c r="J281" s="10" t="str">
        <f>INDEX(products!$A$2:$G$49,MATCH(orders!$D281,products!$A$2:$A$49,0),MATCH(orders!J$1,products!$A$1:$G$1,0))</f>
        <v>M</v>
      </c>
      <c r="K281" s="11">
        <f>INDEX(products!$A$2:$G$49,MATCH(orders!$D281,products!$A$2:$A$49,0),MATCH(orders!K$1,products!$A$1:$G$1,0))</f>
        <v>2.5</v>
      </c>
      <c r="L281" s="12">
        <f>INDEX(products!$A$2:$G$49,MATCH(orders!$D281,products!$A$2:$A$49,0),MATCH(orders!L$1,products!$A$1:$G$1,0))</f>
        <v>33.464999999999996</v>
      </c>
      <c r="M281" s="12">
        <f t="shared" si="12"/>
        <v>33.464999999999996</v>
      </c>
      <c r="N281" s="10" t="str">
        <f t="shared" si="13"/>
        <v>Liberica</v>
      </c>
      <c r="O281" s="10" t="str">
        <f t="shared" si="14"/>
        <v>Medium</v>
      </c>
      <c r="P281" s="10" t="str">
        <f>_xlfn.XLOOKUP(Tableau1[[#This Row],[Customer ID]],customers!A$2:A$1001,customers!I$2:I$1001)</f>
        <v>Yes</v>
      </c>
    </row>
    <row r="282" spans="1:16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9" t="str">
        <f>_xlfn.XLOOKUP(orders!C282,customers!$A$2:$A$1001,customers!$B$2:$B$1001)</f>
        <v>Christopher Grieveson</v>
      </c>
      <c r="G282" s="9" t="str">
        <f>IF(_xlfn.XLOOKUP(orders!C282,customers!$A$2:$A$1001,customers!$C$2:$C$1001,,,)=0,"",_xlfn.XLOOKUP(orders!C282,customers!$A$2:$A$1001,customers!$C$2:$C$1001,,,))</f>
        <v/>
      </c>
      <c r="H282" s="9" t="str">
        <f>_xlfn.XLOOKUP(C282,customers!$A$2:$A$1001,customers!$G$2:$G$1001,"")</f>
        <v>United States</v>
      </c>
      <c r="I282" s="10" t="str">
        <f>INDEX(products!$A$2:$G$49,MATCH(orders!$D282,products!$A$2:$A$49,0),MATCH(orders!I$1,products!$A$1:$G$1,0))</f>
        <v>Exc</v>
      </c>
      <c r="J282" s="10" t="str">
        <f>INDEX(products!$A$2:$G$49,MATCH(orders!$D282,products!$A$2:$A$49,0),MATCH(orders!J$1,products!$A$1:$G$1,0))</f>
        <v>M</v>
      </c>
      <c r="K282" s="11">
        <f>INDEX(products!$A$2:$G$49,MATCH(orders!$D282,products!$A$2:$A$49,0),MATCH(orders!K$1,products!$A$1:$G$1,0))</f>
        <v>0.5</v>
      </c>
      <c r="L282" s="12">
        <f>INDEX(products!$A$2:$G$49,MATCH(orders!$D282,products!$A$2:$A$49,0),MATCH(orders!L$1,products!$A$1:$G$1,0))</f>
        <v>8.25</v>
      </c>
      <c r="M282" s="12">
        <f t="shared" si="12"/>
        <v>41.25</v>
      </c>
      <c r="N282" s="10" t="str">
        <f t="shared" si="13"/>
        <v>Excelsa</v>
      </c>
      <c r="O282" s="10" t="str">
        <f t="shared" si="14"/>
        <v>Medium</v>
      </c>
      <c r="P282" s="10" t="str">
        <f>_xlfn.XLOOKUP(Tableau1[[#This Row],[Customer ID]],customers!A$2:A$1001,customers!I$2:I$1001)</f>
        <v>Yes</v>
      </c>
    </row>
    <row r="283" spans="1:16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9" t="str">
        <f>_xlfn.XLOOKUP(orders!C283,customers!$A$2:$A$1001,customers!$B$2:$B$1001)</f>
        <v>Karlan Karby</v>
      </c>
      <c r="G283" s="9" t="str">
        <f>IF(_xlfn.XLOOKUP(orders!C283,customers!$A$2:$A$1001,customers!$C$2:$C$1001,,,)=0,"",_xlfn.XLOOKUP(orders!C283,customers!$A$2:$A$1001,customers!$C$2:$C$1001,,,))</f>
        <v>kkarby7t@sbwire.com</v>
      </c>
      <c r="H283" s="9" t="str">
        <f>_xlfn.XLOOKUP(C283,customers!$A$2:$A$1001,customers!$G$2:$G$1001,"")</f>
        <v>United States</v>
      </c>
      <c r="I283" s="10" t="str">
        <f>INDEX(products!$A$2:$G$49,MATCH(orders!$D283,products!$A$2:$A$49,0),MATCH(orders!I$1,products!$A$1:$G$1,0))</f>
        <v>Exc</v>
      </c>
      <c r="J283" s="10" t="str">
        <f>INDEX(products!$A$2:$G$49,MATCH(orders!$D283,products!$A$2:$A$49,0),MATCH(orders!J$1,products!$A$1:$G$1,0))</f>
        <v>L</v>
      </c>
      <c r="K283" s="11">
        <f>INDEX(products!$A$2:$G$49,MATCH(orders!$D283,products!$A$2:$A$49,0),MATCH(orders!K$1,products!$A$1:$G$1,0))</f>
        <v>1</v>
      </c>
      <c r="L283" s="12">
        <f>INDEX(products!$A$2:$G$49,MATCH(orders!$D283,products!$A$2:$A$49,0),MATCH(orders!L$1,products!$A$1:$G$1,0))</f>
        <v>14.85</v>
      </c>
      <c r="M283" s="12">
        <f t="shared" si="12"/>
        <v>59.4</v>
      </c>
      <c r="N283" s="10" t="str">
        <f t="shared" si="13"/>
        <v>Excelsa</v>
      </c>
      <c r="O283" s="10" t="str">
        <f t="shared" si="14"/>
        <v>Light</v>
      </c>
      <c r="P283" s="10" t="str">
        <f>_xlfn.XLOOKUP(Tableau1[[#This Row],[Customer ID]],customers!A$2:A$1001,customers!I$2:I$1001)</f>
        <v>Yes</v>
      </c>
    </row>
    <row r="284" spans="1:16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9" t="str">
        <f>_xlfn.XLOOKUP(orders!C284,customers!$A$2:$A$1001,customers!$B$2:$B$1001)</f>
        <v>Flory Crumpe</v>
      </c>
      <c r="G284" s="9" t="str">
        <f>IF(_xlfn.XLOOKUP(orders!C284,customers!$A$2:$A$1001,customers!$C$2:$C$1001,,,)=0,"",_xlfn.XLOOKUP(orders!C284,customers!$A$2:$A$1001,customers!$C$2:$C$1001,,,))</f>
        <v>fcrumpe7u@ftc.gov</v>
      </c>
      <c r="H284" s="9" t="str">
        <f>_xlfn.XLOOKUP(C284,customers!$A$2:$A$1001,customers!$G$2:$G$1001,"")</f>
        <v>United Kingdom</v>
      </c>
      <c r="I284" s="10" t="str">
        <f>INDEX(products!$A$2:$G$49,MATCH(orders!$D284,products!$A$2:$A$49,0),MATCH(orders!I$1,products!$A$1:$G$1,0))</f>
        <v>Ara</v>
      </c>
      <c r="J284" s="10" t="str">
        <f>INDEX(products!$A$2:$G$49,MATCH(orders!$D284,products!$A$2:$A$49,0),MATCH(orders!J$1,products!$A$1:$G$1,0))</f>
        <v>L</v>
      </c>
      <c r="K284" s="11">
        <f>INDEX(products!$A$2:$G$49,MATCH(orders!$D284,products!$A$2:$A$49,0),MATCH(orders!K$1,products!$A$1:$G$1,0))</f>
        <v>0.5</v>
      </c>
      <c r="L284" s="12">
        <f>INDEX(products!$A$2:$G$49,MATCH(orders!$D284,products!$A$2:$A$49,0),MATCH(orders!L$1,products!$A$1:$G$1,0))</f>
        <v>7.77</v>
      </c>
      <c r="M284" s="12">
        <f t="shared" si="12"/>
        <v>7.77</v>
      </c>
      <c r="N284" s="10" t="str">
        <f t="shared" si="13"/>
        <v>Arabica</v>
      </c>
      <c r="O284" s="10" t="str">
        <f t="shared" si="14"/>
        <v>Light</v>
      </c>
      <c r="P284" s="10" t="str">
        <f>_xlfn.XLOOKUP(Tableau1[[#This Row],[Customer ID]],customers!A$2:A$1001,customers!I$2:I$1001)</f>
        <v>No</v>
      </c>
    </row>
    <row r="285" spans="1:16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9" t="str">
        <f>_xlfn.XLOOKUP(orders!C285,customers!$A$2:$A$1001,customers!$B$2:$B$1001)</f>
        <v>Amity Chatto</v>
      </c>
      <c r="G285" s="9" t="str">
        <f>IF(_xlfn.XLOOKUP(orders!C285,customers!$A$2:$A$1001,customers!$C$2:$C$1001,,,)=0,"",_xlfn.XLOOKUP(orders!C285,customers!$A$2:$A$1001,customers!$C$2:$C$1001,,,))</f>
        <v>achatto7v@sakura.ne.jp</v>
      </c>
      <c r="H285" s="9" t="str">
        <f>_xlfn.XLOOKUP(C285,customers!$A$2:$A$1001,customers!$G$2:$G$1001,"")</f>
        <v>United Kingdom</v>
      </c>
      <c r="I285" s="10" t="str">
        <f>INDEX(products!$A$2:$G$49,MATCH(orders!$D285,products!$A$2:$A$49,0),MATCH(orders!I$1,products!$A$1:$G$1,0))</f>
        <v>Rob</v>
      </c>
      <c r="J285" s="10" t="str">
        <f>INDEX(products!$A$2:$G$49,MATCH(orders!$D285,products!$A$2:$A$49,0),MATCH(orders!J$1,products!$A$1:$G$1,0))</f>
        <v>D</v>
      </c>
      <c r="K285" s="11">
        <f>INDEX(products!$A$2:$G$49,MATCH(orders!$D285,products!$A$2:$A$49,0),MATCH(orders!K$1,products!$A$1:$G$1,0))</f>
        <v>0.5</v>
      </c>
      <c r="L285" s="12">
        <f>INDEX(products!$A$2:$G$49,MATCH(orders!$D285,products!$A$2:$A$49,0),MATCH(orders!L$1,products!$A$1:$G$1,0))</f>
        <v>5.3699999999999992</v>
      </c>
      <c r="M285" s="12">
        <f t="shared" si="12"/>
        <v>5.3699999999999992</v>
      </c>
      <c r="N285" s="10" t="str">
        <f t="shared" si="13"/>
        <v>Robusta</v>
      </c>
      <c r="O285" s="10" t="str">
        <f t="shared" si="14"/>
        <v>Dark</v>
      </c>
      <c r="P285" s="10" t="str">
        <f>_xlfn.XLOOKUP(Tableau1[[#This Row],[Customer ID]],customers!A$2:A$1001,customers!I$2:I$1001)</f>
        <v>Yes</v>
      </c>
    </row>
    <row r="286" spans="1:16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9" t="str">
        <f>_xlfn.XLOOKUP(orders!C286,customers!$A$2:$A$1001,customers!$B$2:$B$1001)</f>
        <v>Nanine McCarthy</v>
      </c>
      <c r="G286" s="9" t="str">
        <f>IF(_xlfn.XLOOKUP(orders!C286,customers!$A$2:$A$1001,customers!$C$2:$C$1001,,,)=0,"",_xlfn.XLOOKUP(orders!C286,customers!$A$2:$A$1001,customers!$C$2:$C$1001,,,))</f>
        <v/>
      </c>
      <c r="H286" s="9" t="str">
        <f>_xlfn.XLOOKUP(C286,customers!$A$2:$A$1001,customers!$G$2:$G$1001,"")</f>
        <v>United States</v>
      </c>
      <c r="I286" s="10" t="str">
        <f>INDEX(products!$A$2:$G$49,MATCH(orders!$D286,products!$A$2:$A$49,0),MATCH(orders!I$1,products!$A$1:$G$1,0))</f>
        <v>Exc</v>
      </c>
      <c r="J286" s="10" t="str">
        <f>INDEX(products!$A$2:$G$49,MATCH(orders!$D286,products!$A$2:$A$49,0),MATCH(orders!J$1,products!$A$1:$G$1,0))</f>
        <v>M</v>
      </c>
      <c r="K286" s="11">
        <f>INDEX(products!$A$2:$G$49,MATCH(orders!$D286,products!$A$2:$A$49,0),MATCH(orders!K$1,products!$A$1:$G$1,0))</f>
        <v>2.5</v>
      </c>
      <c r="L286" s="12">
        <f>INDEX(products!$A$2:$G$49,MATCH(orders!$D286,products!$A$2:$A$49,0),MATCH(orders!L$1,products!$A$1:$G$1,0))</f>
        <v>31.624999999999996</v>
      </c>
      <c r="M286" s="12">
        <f t="shared" si="12"/>
        <v>94.874999999999986</v>
      </c>
      <c r="N286" s="10" t="str">
        <f t="shared" si="13"/>
        <v>Excelsa</v>
      </c>
      <c r="O286" s="10" t="str">
        <f t="shared" si="14"/>
        <v>Medium</v>
      </c>
      <c r="P286" s="10" t="str">
        <f>_xlfn.XLOOKUP(Tableau1[[#This Row],[Customer ID]],customers!A$2:A$1001,customers!I$2:I$1001)</f>
        <v>No</v>
      </c>
    </row>
    <row r="287" spans="1:16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9" t="str">
        <f>_xlfn.XLOOKUP(orders!C287,customers!$A$2:$A$1001,customers!$B$2:$B$1001)</f>
        <v>Lyndsey Megany</v>
      </c>
      <c r="G287" s="9" t="str">
        <f>IF(_xlfn.XLOOKUP(orders!C287,customers!$A$2:$A$1001,customers!$C$2:$C$1001,,,)=0,"",_xlfn.XLOOKUP(orders!C287,customers!$A$2:$A$1001,customers!$C$2:$C$1001,,,))</f>
        <v/>
      </c>
      <c r="H287" s="9" t="str">
        <f>_xlfn.XLOOKUP(C287,customers!$A$2:$A$1001,customers!$G$2:$G$1001,"")</f>
        <v>United States</v>
      </c>
      <c r="I287" s="10" t="str">
        <f>INDEX(products!$A$2:$G$49,MATCH(orders!$D287,products!$A$2:$A$49,0),MATCH(orders!I$1,products!$A$1:$G$1,0))</f>
        <v>Lib</v>
      </c>
      <c r="J287" s="10" t="str">
        <f>INDEX(products!$A$2:$G$49,MATCH(orders!$D287,products!$A$2:$A$49,0),MATCH(orders!J$1,products!$A$1:$G$1,0))</f>
        <v>L</v>
      </c>
      <c r="K287" s="11">
        <f>INDEX(products!$A$2:$G$49,MATCH(orders!$D287,products!$A$2:$A$49,0),MATCH(orders!K$1,products!$A$1:$G$1,0))</f>
        <v>2.5</v>
      </c>
      <c r="L287" s="12">
        <f>INDEX(products!$A$2:$G$49,MATCH(orders!$D287,products!$A$2:$A$49,0),MATCH(orders!L$1,products!$A$1:$G$1,0))</f>
        <v>36.454999999999998</v>
      </c>
      <c r="M287" s="12">
        <f t="shared" si="12"/>
        <v>36.454999999999998</v>
      </c>
      <c r="N287" s="10" t="str">
        <f t="shared" si="13"/>
        <v>Liberica</v>
      </c>
      <c r="O287" s="10" t="str">
        <f t="shared" si="14"/>
        <v>Light</v>
      </c>
      <c r="P287" s="10" t="str">
        <f>_xlfn.XLOOKUP(Tableau1[[#This Row],[Customer ID]],customers!A$2:A$1001,customers!I$2:I$1001)</f>
        <v>No</v>
      </c>
    </row>
    <row r="288" spans="1:16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9" t="str">
        <f>_xlfn.XLOOKUP(orders!C288,customers!$A$2:$A$1001,customers!$B$2:$B$1001)</f>
        <v>Byram Mergue</v>
      </c>
      <c r="G288" s="9" t="str">
        <f>IF(_xlfn.XLOOKUP(orders!C288,customers!$A$2:$A$1001,customers!$C$2:$C$1001,,,)=0,"",_xlfn.XLOOKUP(orders!C288,customers!$A$2:$A$1001,customers!$C$2:$C$1001,,,))</f>
        <v>bmergue7y@umn.edu</v>
      </c>
      <c r="H288" s="9" t="str">
        <f>_xlfn.XLOOKUP(C288,customers!$A$2:$A$1001,customers!$G$2:$G$1001,"")</f>
        <v>United States</v>
      </c>
      <c r="I288" s="10" t="str">
        <f>INDEX(products!$A$2:$G$49,MATCH(orders!$D288,products!$A$2:$A$49,0),MATCH(orders!I$1,products!$A$1:$G$1,0))</f>
        <v>Ara</v>
      </c>
      <c r="J288" s="10" t="str">
        <f>INDEX(products!$A$2:$G$49,MATCH(orders!$D288,products!$A$2:$A$49,0),MATCH(orders!J$1,products!$A$1:$G$1,0))</f>
        <v>M</v>
      </c>
      <c r="K288" s="11">
        <f>INDEX(products!$A$2:$G$49,MATCH(orders!$D288,products!$A$2:$A$49,0),MATCH(orders!K$1,products!$A$1:$G$1,0))</f>
        <v>0.2</v>
      </c>
      <c r="L288" s="12">
        <f>INDEX(products!$A$2:$G$49,MATCH(orders!$D288,products!$A$2:$A$49,0),MATCH(orders!L$1,products!$A$1:$G$1,0))</f>
        <v>3.375</v>
      </c>
      <c r="M288" s="12">
        <f t="shared" si="12"/>
        <v>13.5</v>
      </c>
      <c r="N288" s="10" t="str">
        <f t="shared" si="13"/>
        <v>Arabica</v>
      </c>
      <c r="O288" s="10" t="str">
        <f t="shared" si="14"/>
        <v>Medium</v>
      </c>
      <c r="P288" s="10" t="str">
        <f>_xlfn.XLOOKUP(Tableau1[[#This Row],[Customer ID]],customers!A$2:A$1001,customers!I$2:I$1001)</f>
        <v>Yes</v>
      </c>
    </row>
    <row r="289" spans="1:16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9" t="str">
        <f>_xlfn.XLOOKUP(orders!C289,customers!$A$2:$A$1001,customers!$B$2:$B$1001)</f>
        <v>Kerr Patise</v>
      </c>
      <c r="G289" s="9" t="str">
        <f>IF(_xlfn.XLOOKUP(orders!C289,customers!$A$2:$A$1001,customers!$C$2:$C$1001,,,)=0,"",_xlfn.XLOOKUP(orders!C289,customers!$A$2:$A$1001,customers!$C$2:$C$1001,,,))</f>
        <v>kpatise7z@jigsy.com</v>
      </c>
      <c r="H289" s="9" t="str">
        <f>_xlfn.XLOOKUP(C289,customers!$A$2:$A$1001,customers!$G$2:$G$1001,"")</f>
        <v>United States</v>
      </c>
      <c r="I289" s="10" t="str">
        <f>INDEX(products!$A$2:$G$49,MATCH(orders!$D289,products!$A$2:$A$49,0),MATCH(orders!I$1,products!$A$1:$G$1,0))</f>
        <v>Rob</v>
      </c>
      <c r="J289" s="10" t="str">
        <f>INDEX(products!$A$2:$G$49,MATCH(orders!$D289,products!$A$2:$A$49,0),MATCH(orders!J$1,products!$A$1:$G$1,0))</f>
        <v>L</v>
      </c>
      <c r="K289" s="11">
        <f>INDEX(products!$A$2:$G$49,MATCH(orders!$D289,products!$A$2:$A$49,0),MATCH(orders!K$1,products!$A$1:$G$1,0))</f>
        <v>0.2</v>
      </c>
      <c r="L289" s="12">
        <f>INDEX(products!$A$2:$G$49,MATCH(orders!$D289,products!$A$2:$A$49,0),MATCH(orders!L$1,products!$A$1:$G$1,0))</f>
        <v>3.5849999999999995</v>
      </c>
      <c r="M289" s="12">
        <f t="shared" si="12"/>
        <v>14.339999999999998</v>
      </c>
      <c r="N289" s="10" t="str">
        <f t="shared" si="13"/>
        <v>Robusta</v>
      </c>
      <c r="O289" s="10" t="str">
        <f t="shared" si="14"/>
        <v>Light</v>
      </c>
      <c r="P289" s="10" t="str">
        <f>_xlfn.XLOOKUP(Tableau1[[#This Row],[Customer ID]],customers!A$2:A$1001,customers!I$2:I$1001)</f>
        <v>No</v>
      </c>
    </row>
    <row r="290" spans="1:16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9" t="str">
        <f>_xlfn.XLOOKUP(orders!C290,customers!$A$2:$A$1001,customers!$B$2:$B$1001)</f>
        <v>Mathew Goulter</v>
      </c>
      <c r="G290" s="9" t="str">
        <f>IF(_xlfn.XLOOKUP(orders!C290,customers!$A$2:$A$1001,customers!$C$2:$C$1001,,,)=0,"",_xlfn.XLOOKUP(orders!C290,customers!$A$2:$A$1001,customers!$C$2:$C$1001,,,))</f>
        <v/>
      </c>
      <c r="H290" s="9" t="str">
        <f>_xlfn.XLOOKUP(C290,customers!$A$2:$A$1001,customers!$G$2:$G$1001,"")</f>
        <v>Ireland</v>
      </c>
      <c r="I290" s="10" t="str">
        <f>INDEX(products!$A$2:$G$49,MATCH(orders!$D290,products!$A$2:$A$49,0),MATCH(orders!I$1,products!$A$1:$G$1,0))</f>
        <v>Exc</v>
      </c>
      <c r="J290" s="10" t="str">
        <f>INDEX(products!$A$2:$G$49,MATCH(orders!$D290,products!$A$2:$A$49,0),MATCH(orders!J$1,products!$A$1:$G$1,0))</f>
        <v>M</v>
      </c>
      <c r="K290" s="11">
        <f>INDEX(products!$A$2:$G$49,MATCH(orders!$D290,products!$A$2:$A$49,0),MATCH(orders!K$1,products!$A$1:$G$1,0))</f>
        <v>0.5</v>
      </c>
      <c r="L290" s="12">
        <f>INDEX(products!$A$2:$G$49,MATCH(orders!$D290,products!$A$2:$A$49,0),MATCH(orders!L$1,products!$A$1:$G$1,0))</f>
        <v>8.25</v>
      </c>
      <c r="M290" s="12">
        <f t="shared" si="12"/>
        <v>8.25</v>
      </c>
      <c r="N290" s="10" t="str">
        <f t="shared" si="13"/>
        <v>Excelsa</v>
      </c>
      <c r="O290" s="10" t="str">
        <f t="shared" si="14"/>
        <v>Medium</v>
      </c>
      <c r="P290" s="10" t="str">
        <f>_xlfn.XLOOKUP(Tableau1[[#This Row],[Customer ID]],customers!A$2:A$1001,customers!I$2:I$1001)</f>
        <v>Yes</v>
      </c>
    </row>
    <row r="291" spans="1:16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9" t="str">
        <f>_xlfn.XLOOKUP(orders!C291,customers!$A$2:$A$1001,customers!$B$2:$B$1001)</f>
        <v>Marris Grcic</v>
      </c>
      <c r="G291" s="9" t="str">
        <f>IF(_xlfn.XLOOKUP(orders!C291,customers!$A$2:$A$1001,customers!$C$2:$C$1001,,,)=0,"",_xlfn.XLOOKUP(orders!C291,customers!$A$2:$A$1001,customers!$C$2:$C$1001,,,))</f>
        <v/>
      </c>
      <c r="H291" s="9" t="str">
        <f>_xlfn.XLOOKUP(C291,customers!$A$2:$A$1001,customers!$G$2:$G$1001,"")</f>
        <v>United States</v>
      </c>
      <c r="I291" s="10" t="str">
        <f>INDEX(products!$A$2:$G$49,MATCH(orders!$D291,products!$A$2:$A$49,0),MATCH(orders!I$1,products!$A$1:$G$1,0))</f>
        <v>Rob</v>
      </c>
      <c r="J291" s="10" t="str">
        <f>INDEX(products!$A$2:$G$49,MATCH(orders!$D291,products!$A$2:$A$49,0),MATCH(orders!J$1,products!$A$1:$G$1,0))</f>
        <v>D</v>
      </c>
      <c r="K291" s="11">
        <f>INDEX(products!$A$2:$G$49,MATCH(orders!$D291,products!$A$2:$A$49,0),MATCH(orders!K$1,products!$A$1:$G$1,0))</f>
        <v>0.2</v>
      </c>
      <c r="L291" s="12">
        <f>INDEX(products!$A$2:$G$49,MATCH(orders!$D291,products!$A$2:$A$49,0),MATCH(orders!L$1,products!$A$1:$G$1,0))</f>
        <v>2.6849999999999996</v>
      </c>
      <c r="M291" s="12">
        <f t="shared" si="12"/>
        <v>13.424999999999997</v>
      </c>
      <c r="N291" s="10" t="str">
        <f t="shared" si="13"/>
        <v>Robusta</v>
      </c>
      <c r="O291" s="10" t="str">
        <f t="shared" si="14"/>
        <v>Dark</v>
      </c>
      <c r="P291" s="10" t="str">
        <f>_xlfn.XLOOKUP(Tableau1[[#This Row],[Customer ID]],customers!A$2:A$1001,customers!I$2:I$1001)</f>
        <v>Yes</v>
      </c>
    </row>
    <row r="292" spans="1:16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9" t="str">
        <f>_xlfn.XLOOKUP(orders!C292,customers!$A$2:$A$1001,customers!$B$2:$B$1001)</f>
        <v>Domeniga Duke</v>
      </c>
      <c r="G292" s="9" t="str">
        <f>IF(_xlfn.XLOOKUP(orders!C292,customers!$A$2:$A$1001,customers!$C$2:$C$1001,,,)=0,"",_xlfn.XLOOKUP(orders!C292,customers!$A$2:$A$1001,customers!$C$2:$C$1001,,,))</f>
        <v>dduke82@vkontakte.ru</v>
      </c>
      <c r="H292" s="9" t="str">
        <f>_xlfn.XLOOKUP(C292,customers!$A$2:$A$1001,customers!$G$2:$G$1001,"")</f>
        <v>United States</v>
      </c>
      <c r="I292" s="10" t="str">
        <f>INDEX(products!$A$2:$G$49,MATCH(orders!$D292,products!$A$2:$A$49,0),MATCH(orders!I$1,products!$A$1:$G$1,0))</f>
        <v>Ara</v>
      </c>
      <c r="J292" s="10" t="str">
        <f>INDEX(products!$A$2:$G$49,MATCH(orders!$D292,products!$A$2:$A$49,0),MATCH(orders!J$1,products!$A$1:$G$1,0))</f>
        <v>D</v>
      </c>
      <c r="K292" s="11">
        <f>INDEX(products!$A$2:$G$49,MATCH(orders!$D292,products!$A$2:$A$49,0),MATCH(orders!K$1,products!$A$1:$G$1,0))</f>
        <v>1</v>
      </c>
      <c r="L292" s="12">
        <f>INDEX(products!$A$2:$G$49,MATCH(orders!$D292,products!$A$2:$A$49,0),MATCH(orders!L$1,products!$A$1:$G$1,0))</f>
        <v>9.9499999999999993</v>
      </c>
      <c r="M292" s="12">
        <f t="shared" si="12"/>
        <v>49.75</v>
      </c>
      <c r="N292" s="10" t="str">
        <f t="shared" si="13"/>
        <v>Arabica</v>
      </c>
      <c r="O292" s="10" t="str">
        <f t="shared" si="14"/>
        <v>Dark</v>
      </c>
      <c r="P292" s="10" t="str">
        <f>_xlfn.XLOOKUP(Tableau1[[#This Row],[Customer ID]],customers!A$2:A$1001,customers!I$2:I$1001)</f>
        <v>No</v>
      </c>
    </row>
    <row r="293" spans="1:16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9" t="str">
        <f>_xlfn.XLOOKUP(orders!C293,customers!$A$2:$A$1001,customers!$B$2:$B$1001)</f>
        <v>Violante Skouling</v>
      </c>
      <c r="G293" s="9" t="str">
        <f>IF(_xlfn.XLOOKUP(orders!C293,customers!$A$2:$A$1001,customers!$C$2:$C$1001,,,)=0,"",_xlfn.XLOOKUP(orders!C293,customers!$A$2:$A$1001,customers!$C$2:$C$1001,,,))</f>
        <v/>
      </c>
      <c r="H293" s="9" t="str">
        <f>_xlfn.XLOOKUP(C293,customers!$A$2:$A$1001,customers!$G$2:$G$1001,"")</f>
        <v>Ireland</v>
      </c>
      <c r="I293" s="10" t="str">
        <f>INDEX(products!$A$2:$G$49,MATCH(orders!$D293,products!$A$2:$A$49,0),MATCH(orders!I$1,products!$A$1:$G$1,0))</f>
        <v>Exc</v>
      </c>
      <c r="J293" s="10" t="str">
        <f>INDEX(products!$A$2:$G$49,MATCH(orders!$D293,products!$A$2:$A$49,0),MATCH(orders!J$1,products!$A$1:$G$1,0))</f>
        <v>M</v>
      </c>
      <c r="K293" s="11">
        <f>INDEX(products!$A$2:$G$49,MATCH(orders!$D293,products!$A$2:$A$49,0),MATCH(orders!K$1,products!$A$1:$G$1,0))</f>
        <v>0.5</v>
      </c>
      <c r="L293" s="12">
        <f>INDEX(products!$A$2:$G$49,MATCH(orders!$D293,products!$A$2:$A$49,0),MATCH(orders!L$1,products!$A$1:$G$1,0))</f>
        <v>8.25</v>
      </c>
      <c r="M293" s="12">
        <f t="shared" si="12"/>
        <v>16.5</v>
      </c>
      <c r="N293" s="10" t="str">
        <f t="shared" si="13"/>
        <v>Excelsa</v>
      </c>
      <c r="O293" s="10" t="str">
        <f t="shared" si="14"/>
        <v>Medium</v>
      </c>
      <c r="P293" s="10" t="str">
        <f>_xlfn.XLOOKUP(Tableau1[[#This Row],[Customer ID]],customers!A$2:A$1001,customers!I$2:I$1001)</f>
        <v>No</v>
      </c>
    </row>
    <row r="294" spans="1:16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9" t="str">
        <f>_xlfn.XLOOKUP(orders!C294,customers!$A$2:$A$1001,customers!$B$2:$B$1001)</f>
        <v>Isidore Hussey</v>
      </c>
      <c r="G294" s="9" t="str">
        <f>IF(_xlfn.XLOOKUP(orders!C294,customers!$A$2:$A$1001,customers!$C$2:$C$1001,,,)=0,"",_xlfn.XLOOKUP(orders!C294,customers!$A$2:$A$1001,customers!$C$2:$C$1001,,,))</f>
        <v>ihussey84@mapy.cz</v>
      </c>
      <c r="H294" s="9" t="str">
        <f>_xlfn.XLOOKUP(C294,customers!$A$2:$A$1001,customers!$G$2:$G$1001,"")</f>
        <v>United States</v>
      </c>
      <c r="I294" s="10" t="str">
        <f>INDEX(products!$A$2:$G$49,MATCH(orders!$D294,products!$A$2:$A$49,0),MATCH(orders!I$1,products!$A$1:$G$1,0))</f>
        <v>Ara</v>
      </c>
      <c r="J294" s="10" t="str">
        <f>INDEX(products!$A$2:$G$49,MATCH(orders!$D294,products!$A$2:$A$49,0),MATCH(orders!J$1,products!$A$1:$G$1,0))</f>
        <v>D</v>
      </c>
      <c r="K294" s="11">
        <f>INDEX(products!$A$2:$G$49,MATCH(orders!$D294,products!$A$2:$A$49,0),MATCH(orders!K$1,products!$A$1:$G$1,0))</f>
        <v>0.5</v>
      </c>
      <c r="L294" s="12">
        <f>INDEX(products!$A$2:$G$49,MATCH(orders!$D294,products!$A$2:$A$49,0),MATCH(orders!L$1,products!$A$1:$G$1,0))</f>
        <v>5.97</v>
      </c>
      <c r="M294" s="12">
        <f t="shared" si="12"/>
        <v>17.91</v>
      </c>
      <c r="N294" s="10" t="str">
        <f t="shared" si="13"/>
        <v>Arabica</v>
      </c>
      <c r="O294" s="10" t="str">
        <f t="shared" si="14"/>
        <v>Dark</v>
      </c>
      <c r="P294" s="10" t="str">
        <f>_xlfn.XLOOKUP(Tableau1[[#This Row],[Customer ID]],customers!A$2:A$1001,customers!I$2:I$1001)</f>
        <v>No</v>
      </c>
    </row>
    <row r="295" spans="1:16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9" t="str">
        <f>_xlfn.XLOOKUP(orders!C295,customers!$A$2:$A$1001,customers!$B$2:$B$1001)</f>
        <v>Cassie Pinkerton</v>
      </c>
      <c r="G295" s="9" t="str">
        <f>IF(_xlfn.XLOOKUP(orders!C295,customers!$A$2:$A$1001,customers!$C$2:$C$1001,,,)=0,"",_xlfn.XLOOKUP(orders!C295,customers!$A$2:$A$1001,customers!$C$2:$C$1001,,,))</f>
        <v>cpinkerton85@upenn.edu</v>
      </c>
      <c r="H295" s="9" t="str">
        <f>_xlfn.XLOOKUP(C295,customers!$A$2:$A$1001,customers!$G$2:$G$1001,"")</f>
        <v>United States</v>
      </c>
      <c r="I295" s="10" t="str">
        <f>INDEX(products!$A$2:$G$49,MATCH(orders!$D295,products!$A$2:$A$49,0),MATCH(orders!I$1,products!$A$1:$G$1,0))</f>
        <v>Ara</v>
      </c>
      <c r="J295" s="10" t="str">
        <f>INDEX(products!$A$2:$G$49,MATCH(orders!$D295,products!$A$2:$A$49,0),MATCH(orders!J$1,products!$A$1:$G$1,0))</f>
        <v>D</v>
      </c>
      <c r="K295" s="11">
        <f>INDEX(products!$A$2:$G$49,MATCH(orders!$D295,products!$A$2:$A$49,0),MATCH(orders!K$1,products!$A$1:$G$1,0))</f>
        <v>0.5</v>
      </c>
      <c r="L295" s="12">
        <f>INDEX(products!$A$2:$G$49,MATCH(orders!$D295,products!$A$2:$A$49,0),MATCH(orders!L$1,products!$A$1:$G$1,0))</f>
        <v>5.97</v>
      </c>
      <c r="M295" s="12">
        <f t="shared" si="12"/>
        <v>29.849999999999998</v>
      </c>
      <c r="N295" s="10" t="str">
        <f t="shared" si="13"/>
        <v>Arabica</v>
      </c>
      <c r="O295" s="10" t="str">
        <f t="shared" si="14"/>
        <v>Dark</v>
      </c>
      <c r="P295" s="10" t="str">
        <f>_xlfn.XLOOKUP(Tableau1[[#This Row],[Customer ID]],customers!A$2:A$1001,customers!I$2:I$1001)</f>
        <v>No</v>
      </c>
    </row>
    <row r="296" spans="1:16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9" t="str">
        <f>_xlfn.XLOOKUP(orders!C296,customers!$A$2:$A$1001,customers!$B$2:$B$1001)</f>
        <v>Micki Fero</v>
      </c>
      <c r="G296" s="9" t="str">
        <f>IF(_xlfn.XLOOKUP(orders!C296,customers!$A$2:$A$1001,customers!$C$2:$C$1001,,,)=0,"",_xlfn.XLOOKUP(orders!C296,customers!$A$2:$A$1001,customers!$C$2:$C$1001,,,))</f>
        <v/>
      </c>
      <c r="H296" s="9" t="str">
        <f>_xlfn.XLOOKUP(C296,customers!$A$2:$A$1001,customers!$G$2:$G$1001,"")</f>
        <v>United States</v>
      </c>
      <c r="I296" s="10" t="str">
        <f>INDEX(products!$A$2:$G$49,MATCH(orders!$D296,products!$A$2:$A$49,0),MATCH(orders!I$1,products!$A$1:$G$1,0))</f>
        <v>Exc</v>
      </c>
      <c r="J296" s="10" t="str">
        <f>INDEX(products!$A$2:$G$49,MATCH(orders!$D296,products!$A$2:$A$49,0),MATCH(orders!J$1,products!$A$1:$G$1,0))</f>
        <v>L</v>
      </c>
      <c r="K296" s="11">
        <f>INDEX(products!$A$2:$G$49,MATCH(orders!$D296,products!$A$2:$A$49,0),MATCH(orders!K$1,products!$A$1:$G$1,0))</f>
        <v>1</v>
      </c>
      <c r="L296" s="12">
        <f>INDEX(products!$A$2:$G$49,MATCH(orders!$D296,products!$A$2:$A$49,0),MATCH(orders!L$1,products!$A$1:$G$1,0))</f>
        <v>14.85</v>
      </c>
      <c r="M296" s="12">
        <f t="shared" si="12"/>
        <v>44.55</v>
      </c>
      <c r="N296" s="10" t="str">
        <f t="shared" si="13"/>
        <v>Excelsa</v>
      </c>
      <c r="O296" s="10" t="str">
        <f t="shared" si="14"/>
        <v>Light</v>
      </c>
      <c r="P296" s="10" t="str">
        <f>_xlfn.XLOOKUP(Tableau1[[#This Row],[Customer ID]],customers!A$2:A$1001,customers!I$2:I$1001)</f>
        <v>No</v>
      </c>
    </row>
    <row r="297" spans="1:16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9" t="str">
        <f>_xlfn.XLOOKUP(orders!C297,customers!$A$2:$A$1001,customers!$B$2:$B$1001)</f>
        <v>Cybill Graddell</v>
      </c>
      <c r="G297" s="9" t="str">
        <f>IF(_xlfn.XLOOKUP(orders!C297,customers!$A$2:$A$1001,customers!$C$2:$C$1001,,,)=0,"",_xlfn.XLOOKUP(orders!C297,customers!$A$2:$A$1001,customers!$C$2:$C$1001,,,))</f>
        <v/>
      </c>
      <c r="H297" s="9" t="str">
        <f>_xlfn.XLOOKUP(C297,customers!$A$2:$A$1001,customers!$G$2:$G$1001,"")</f>
        <v>United States</v>
      </c>
      <c r="I297" s="10" t="str">
        <f>INDEX(products!$A$2:$G$49,MATCH(orders!$D297,products!$A$2:$A$49,0),MATCH(orders!I$1,products!$A$1:$G$1,0))</f>
        <v>Exc</v>
      </c>
      <c r="J297" s="10" t="str">
        <f>INDEX(products!$A$2:$G$49,MATCH(orders!$D297,products!$A$2:$A$49,0),MATCH(orders!J$1,products!$A$1:$G$1,0))</f>
        <v>M</v>
      </c>
      <c r="K297" s="11">
        <f>INDEX(products!$A$2:$G$49,MATCH(orders!$D297,products!$A$2:$A$49,0),MATCH(orders!K$1,products!$A$1:$G$1,0))</f>
        <v>1</v>
      </c>
      <c r="L297" s="12">
        <f>INDEX(products!$A$2:$G$49,MATCH(orders!$D297,products!$A$2:$A$49,0),MATCH(orders!L$1,products!$A$1:$G$1,0))</f>
        <v>13.75</v>
      </c>
      <c r="M297" s="12">
        <f t="shared" si="12"/>
        <v>27.5</v>
      </c>
      <c r="N297" s="10" t="str">
        <f t="shared" si="13"/>
        <v>Excelsa</v>
      </c>
      <c r="O297" s="10" t="str">
        <f t="shared" si="14"/>
        <v>Medium</v>
      </c>
      <c r="P297" s="10" t="str">
        <f>_xlfn.XLOOKUP(Tableau1[[#This Row],[Customer ID]],customers!A$2:A$1001,customers!I$2:I$1001)</f>
        <v>No</v>
      </c>
    </row>
    <row r="298" spans="1:16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9" t="str">
        <f>_xlfn.XLOOKUP(orders!C298,customers!$A$2:$A$1001,customers!$B$2:$B$1001)</f>
        <v>Dorian Vizor</v>
      </c>
      <c r="G298" s="9" t="str">
        <f>IF(_xlfn.XLOOKUP(orders!C298,customers!$A$2:$A$1001,customers!$C$2:$C$1001,,,)=0,"",_xlfn.XLOOKUP(orders!C298,customers!$A$2:$A$1001,customers!$C$2:$C$1001,,,))</f>
        <v>dvizor88@furl.net</v>
      </c>
      <c r="H298" s="9" t="str">
        <f>_xlfn.XLOOKUP(C298,customers!$A$2:$A$1001,customers!$G$2:$G$1001,"")</f>
        <v>United States</v>
      </c>
      <c r="I298" s="10" t="str">
        <f>INDEX(products!$A$2:$G$49,MATCH(orders!$D298,products!$A$2:$A$49,0),MATCH(orders!I$1,products!$A$1:$G$1,0))</f>
        <v>Rob</v>
      </c>
      <c r="J298" s="10" t="str">
        <f>INDEX(products!$A$2:$G$49,MATCH(orders!$D298,products!$A$2:$A$49,0),MATCH(orders!J$1,products!$A$1:$G$1,0))</f>
        <v>M</v>
      </c>
      <c r="K298" s="11">
        <f>INDEX(products!$A$2:$G$49,MATCH(orders!$D298,products!$A$2:$A$49,0),MATCH(orders!K$1,products!$A$1:$G$1,0))</f>
        <v>0.5</v>
      </c>
      <c r="L298" s="12">
        <f>INDEX(products!$A$2:$G$49,MATCH(orders!$D298,products!$A$2:$A$49,0),MATCH(orders!L$1,products!$A$1:$G$1,0))</f>
        <v>5.97</v>
      </c>
      <c r="M298" s="12">
        <f t="shared" si="12"/>
        <v>35.82</v>
      </c>
      <c r="N298" s="10" t="str">
        <f t="shared" si="13"/>
        <v>Robusta</v>
      </c>
      <c r="O298" s="10" t="str">
        <f t="shared" si="14"/>
        <v>Medium</v>
      </c>
      <c r="P298" s="10" t="str">
        <f>_xlfn.XLOOKUP(Tableau1[[#This Row],[Customer ID]],customers!A$2:A$1001,customers!I$2:I$1001)</f>
        <v>Yes</v>
      </c>
    </row>
    <row r="299" spans="1:16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9" t="str">
        <f>_xlfn.XLOOKUP(orders!C299,customers!$A$2:$A$1001,customers!$B$2:$B$1001)</f>
        <v>Eddi Sedgebeer</v>
      </c>
      <c r="G299" s="9" t="str">
        <f>IF(_xlfn.XLOOKUP(orders!C299,customers!$A$2:$A$1001,customers!$C$2:$C$1001,,,)=0,"",_xlfn.XLOOKUP(orders!C299,customers!$A$2:$A$1001,customers!$C$2:$C$1001,,,))</f>
        <v>esedgebeer89@oaic.gov.au</v>
      </c>
      <c r="H299" s="9" t="str">
        <f>_xlfn.XLOOKUP(C299,customers!$A$2:$A$1001,customers!$G$2:$G$1001,"")</f>
        <v>United States</v>
      </c>
      <c r="I299" s="10" t="str">
        <f>INDEX(products!$A$2:$G$49,MATCH(orders!$D299,products!$A$2:$A$49,0),MATCH(orders!I$1,products!$A$1:$G$1,0))</f>
        <v>Rob</v>
      </c>
      <c r="J299" s="10" t="str">
        <f>INDEX(products!$A$2:$G$49,MATCH(orders!$D299,products!$A$2:$A$49,0),MATCH(orders!J$1,products!$A$1:$G$1,0))</f>
        <v>D</v>
      </c>
      <c r="K299" s="11">
        <f>INDEX(products!$A$2:$G$49,MATCH(orders!$D299,products!$A$2:$A$49,0),MATCH(orders!K$1,products!$A$1:$G$1,0))</f>
        <v>0.5</v>
      </c>
      <c r="L299" s="12">
        <f>INDEX(products!$A$2:$G$49,MATCH(orders!$D299,products!$A$2:$A$49,0),MATCH(orders!L$1,products!$A$1:$G$1,0))</f>
        <v>5.3699999999999992</v>
      </c>
      <c r="M299" s="12">
        <f t="shared" si="12"/>
        <v>16.11</v>
      </c>
      <c r="N299" s="10" t="str">
        <f t="shared" si="13"/>
        <v>Robusta</v>
      </c>
      <c r="O299" s="10" t="str">
        <f t="shared" si="14"/>
        <v>Dark</v>
      </c>
      <c r="P299" s="10" t="str">
        <f>_xlfn.XLOOKUP(Tableau1[[#This Row],[Customer ID]],customers!A$2:A$1001,customers!I$2:I$1001)</f>
        <v>Yes</v>
      </c>
    </row>
    <row r="300" spans="1:16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9" t="str">
        <f>_xlfn.XLOOKUP(orders!C300,customers!$A$2:$A$1001,customers!$B$2:$B$1001)</f>
        <v>Ken Lestrange</v>
      </c>
      <c r="G300" s="9" t="str">
        <f>IF(_xlfn.XLOOKUP(orders!C300,customers!$A$2:$A$1001,customers!$C$2:$C$1001,,,)=0,"",_xlfn.XLOOKUP(orders!C300,customers!$A$2:$A$1001,customers!$C$2:$C$1001,,,))</f>
        <v>klestrange8a@lulu.com</v>
      </c>
      <c r="H300" s="9" t="str">
        <f>_xlfn.XLOOKUP(C300,customers!$A$2:$A$1001,customers!$G$2:$G$1001,"")</f>
        <v>United States</v>
      </c>
      <c r="I300" s="10" t="str">
        <f>INDEX(products!$A$2:$G$49,MATCH(orders!$D300,products!$A$2:$A$49,0),MATCH(orders!I$1,products!$A$1:$G$1,0))</f>
        <v>Exc</v>
      </c>
      <c r="J300" s="10" t="str">
        <f>INDEX(products!$A$2:$G$49,MATCH(orders!$D300,products!$A$2:$A$49,0),MATCH(orders!J$1,products!$A$1:$G$1,0))</f>
        <v>L</v>
      </c>
      <c r="K300" s="11">
        <f>INDEX(products!$A$2:$G$49,MATCH(orders!$D300,products!$A$2:$A$49,0),MATCH(orders!K$1,products!$A$1:$G$1,0))</f>
        <v>0.2</v>
      </c>
      <c r="L300" s="12">
        <f>INDEX(products!$A$2:$G$49,MATCH(orders!$D300,products!$A$2:$A$49,0),MATCH(orders!L$1,products!$A$1:$G$1,0))</f>
        <v>4.4550000000000001</v>
      </c>
      <c r="M300" s="12">
        <f t="shared" si="12"/>
        <v>26.73</v>
      </c>
      <c r="N300" s="10" t="str">
        <f t="shared" si="13"/>
        <v>Excelsa</v>
      </c>
      <c r="O300" s="10" t="str">
        <f t="shared" si="14"/>
        <v>Light</v>
      </c>
      <c r="P300" s="10" t="str">
        <f>_xlfn.XLOOKUP(Tableau1[[#This Row],[Customer ID]],customers!A$2:A$1001,customers!I$2:I$1001)</f>
        <v>Yes</v>
      </c>
    </row>
    <row r="301" spans="1:16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9" t="str">
        <f>_xlfn.XLOOKUP(orders!C301,customers!$A$2:$A$1001,customers!$B$2:$B$1001)</f>
        <v>Lacee Tanti</v>
      </c>
      <c r="G301" s="9" t="str">
        <f>IF(_xlfn.XLOOKUP(orders!C301,customers!$A$2:$A$1001,customers!$C$2:$C$1001,,,)=0,"",_xlfn.XLOOKUP(orders!C301,customers!$A$2:$A$1001,customers!$C$2:$C$1001,,,))</f>
        <v>ltanti8b@techcrunch.com</v>
      </c>
      <c r="H301" s="9" t="str">
        <f>_xlfn.XLOOKUP(C301,customers!$A$2:$A$1001,customers!$G$2:$G$1001,"")</f>
        <v>United States</v>
      </c>
      <c r="I301" s="10" t="str">
        <f>INDEX(products!$A$2:$G$49,MATCH(orders!$D301,products!$A$2:$A$49,0),MATCH(orders!I$1,products!$A$1:$G$1,0))</f>
        <v>Exc</v>
      </c>
      <c r="J301" s="10" t="str">
        <f>INDEX(products!$A$2:$G$49,MATCH(orders!$D301,products!$A$2:$A$49,0),MATCH(orders!J$1,products!$A$1:$G$1,0))</f>
        <v>L</v>
      </c>
      <c r="K301" s="11">
        <f>INDEX(products!$A$2:$G$49,MATCH(orders!$D301,products!$A$2:$A$49,0),MATCH(orders!K$1,products!$A$1:$G$1,0))</f>
        <v>2.5</v>
      </c>
      <c r="L301" s="12">
        <f>INDEX(products!$A$2:$G$49,MATCH(orders!$D301,products!$A$2:$A$49,0),MATCH(orders!L$1,products!$A$1:$G$1,0))</f>
        <v>34.154999999999994</v>
      </c>
      <c r="M301" s="12">
        <f t="shared" si="12"/>
        <v>204.92999999999995</v>
      </c>
      <c r="N301" s="10" t="str">
        <f t="shared" si="13"/>
        <v>Excelsa</v>
      </c>
      <c r="O301" s="10" t="str">
        <f t="shared" si="14"/>
        <v>Light</v>
      </c>
      <c r="P301" s="10" t="str">
        <f>_xlfn.XLOOKUP(Tableau1[[#This Row],[Customer ID]],customers!A$2:A$1001,customers!I$2:I$1001)</f>
        <v>Yes</v>
      </c>
    </row>
    <row r="302" spans="1:16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9" t="str">
        <f>_xlfn.XLOOKUP(orders!C302,customers!$A$2:$A$1001,customers!$B$2:$B$1001)</f>
        <v>Arel De Lasci</v>
      </c>
      <c r="G302" s="9" t="str">
        <f>IF(_xlfn.XLOOKUP(orders!C302,customers!$A$2:$A$1001,customers!$C$2:$C$1001,,,)=0,"",_xlfn.XLOOKUP(orders!C302,customers!$A$2:$A$1001,customers!$C$2:$C$1001,,,))</f>
        <v>ade8c@1und1.de</v>
      </c>
      <c r="H302" s="9" t="str">
        <f>_xlfn.XLOOKUP(C302,customers!$A$2:$A$1001,customers!$G$2:$G$1001,"")</f>
        <v>United States</v>
      </c>
      <c r="I302" s="10" t="str">
        <f>INDEX(products!$A$2:$G$49,MATCH(orders!$D302,products!$A$2:$A$49,0),MATCH(orders!I$1,products!$A$1:$G$1,0))</f>
        <v>Ara</v>
      </c>
      <c r="J302" s="10" t="str">
        <f>INDEX(products!$A$2:$G$49,MATCH(orders!$D302,products!$A$2:$A$49,0),MATCH(orders!J$1,products!$A$1:$G$1,0))</f>
        <v>L</v>
      </c>
      <c r="K302" s="11">
        <f>INDEX(products!$A$2:$G$49,MATCH(orders!$D302,products!$A$2:$A$49,0),MATCH(orders!K$1,products!$A$1:$G$1,0))</f>
        <v>1</v>
      </c>
      <c r="L302" s="12">
        <f>INDEX(products!$A$2:$G$49,MATCH(orders!$D302,products!$A$2:$A$49,0),MATCH(orders!L$1,products!$A$1:$G$1,0))</f>
        <v>12.95</v>
      </c>
      <c r="M302" s="12">
        <f t="shared" si="12"/>
        <v>38.849999999999994</v>
      </c>
      <c r="N302" s="10" t="str">
        <f t="shared" si="13"/>
        <v>Arabica</v>
      </c>
      <c r="O302" s="10" t="str">
        <f t="shared" si="14"/>
        <v>Light</v>
      </c>
      <c r="P302" s="10" t="str">
        <f>_xlfn.XLOOKUP(Tableau1[[#This Row],[Customer ID]],customers!A$2:A$1001,customers!I$2:I$1001)</f>
        <v>Yes</v>
      </c>
    </row>
    <row r="303" spans="1:16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9" t="str">
        <f>_xlfn.XLOOKUP(orders!C303,customers!$A$2:$A$1001,customers!$B$2:$B$1001)</f>
        <v>Trescha Jedrachowicz</v>
      </c>
      <c r="G303" s="9" t="str">
        <f>IF(_xlfn.XLOOKUP(orders!C303,customers!$A$2:$A$1001,customers!$C$2:$C$1001,,,)=0,"",_xlfn.XLOOKUP(orders!C303,customers!$A$2:$A$1001,customers!$C$2:$C$1001,,,))</f>
        <v>tjedrachowicz8d@acquirethisname.com</v>
      </c>
      <c r="H303" s="9" t="str">
        <f>_xlfn.XLOOKUP(C303,customers!$A$2:$A$1001,customers!$G$2:$G$1001,"")</f>
        <v>United States</v>
      </c>
      <c r="I303" s="10" t="str">
        <f>INDEX(products!$A$2:$G$49,MATCH(orders!$D303,products!$A$2:$A$49,0),MATCH(orders!I$1,products!$A$1:$G$1,0))</f>
        <v>Lib</v>
      </c>
      <c r="J303" s="10" t="str">
        <f>INDEX(products!$A$2:$G$49,MATCH(orders!$D303,products!$A$2:$A$49,0),MATCH(orders!J$1,products!$A$1:$G$1,0))</f>
        <v>D</v>
      </c>
      <c r="K303" s="11">
        <f>INDEX(products!$A$2:$G$49,MATCH(orders!$D303,products!$A$2:$A$49,0),MATCH(orders!K$1,products!$A$1:$G$1,0))</f>
        <v>0.2</v>
      </c>
      <c r="L303" s="12">
        <f>INDEX(products!$A$2:$G$49,MATCH(orders!$D303,products!$A$2:$A$49,0),MATCH(orders!L$1,products!$A$1:$G$1,0))</f>
        <v>3.8849999999999998</v>
      </c>
      <c r="M303" s="12">
        <f t="shared" si="12"/>
        <v>15.54</v>
      </c>
      <c r="N303" s="10" t="str">
        <f t="shared" si="13"/>
        <v>Liberica</v>
      </c>
      <c r="O303" s="10" t="str">
        <f t="shared" si="14"/>
        <v>Dark</v>
      </c>
      <c r="P303" s="10" t="str">
        <f>_xlfn.XLOOKUP(Tableau1[[#This Row],[Customer ID]],customers!A$2:A$1001,customers!I$2:I$1001)</f>
        <v>Yes</v>
      </c>
    </row>
    <row r="304" spans="1:16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9" t="str">
        <f>_xlfn.XLOOKUP(orders!C304,customers!$A$2:$A$1001,customers!$B$2:$B$1001)</f>
        <v>Perkin Stonner</v>
      </c>
      <c r="G304" s="9" t="str">
        <f>IF(_xlfn.XLOOKUP(orders!C304,customers!$A$2:$A$1001,customers!$C$2:$C$1001,,,)=0,"",_xlfn.XLOOKUP(orders!C304,customers!$A$2:$A$1001,customers!$C$2:$C$1001,,,))</f>
        <v>pstonner8e@moonfruit.com</v>
      </c>
      <c r="H304" s="9" t="str">
        <f>_xlfn.XLOOKUP(C304,customers!$A$2:$A$1001,customers!$G$2:$G$1001,"")</f>
        <v>United States</v>
      </c>
      <c r="I304" s="10" t="str">
        <f>INDEX(products!$A$2:$G$49,MATCH(orders!$D304,products!$A$2:$A$49,0),MATCH(orders!I$1,products!$A$1:$G$1,0))</f>
        <v>Ara</v>
      </c>
      <c r="J304" s="10" t="str">
        <f>INDEX(products!$A$2:$G$49,MATCH(orders!$D304,products!$A$2:$A$49,0),MATCH(orders!J$1,products!$A$1:$G$1,0))</f>
        <v>M</v>
      </c>
      <c r="K304" s="11">
        <f>INDEX(products!$A$2:$G$49,MATCH(orders!$D304,products!$A$2:$A$49,0),MATCH(orders!K$1,products!$A$1:$G$1,0))</f>
        <v>0.5</v>
      </c>
      <c r="L304" s="12">
        <f>INDEX(products!$A$2:$G$49,MATCH(orders!$D304,products!$A$2:$A$49,0),MATCH(orders!L$1,products!$A$1:$G$1,0))</f>
        <v>6.75</v>
      </c>
      <c r="M304" s="12">
        <f t="shared" si="12"/>
        <v>6.75</v>
      </c>
      <c r="N304" s="10" t="str">
        <f t="shared" si="13"/>
        <v>Arabica</v>
      </c>
      <c r="O304" s="10" t="str">
        <f t="shared" si="14"/>
        <v>Medium</v>
      </c>
      <c r="P304" s="10" t="str">
        <f>_xlfn.XLOOKUP(Tableau1[[#This Row],[Customer ID]],customers!A$2:A$1001,customers!I$2:I$1001)</f>
        <v>No</v>
      </c>
    </row>
    <row r="305" spans="1:16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9" t="str">
        <f>_xlfn.XLOOKUP(orders!C305,customers!$A$2:$A$1001,customers!$B$2:$B$1001)</f>
        <v>Darrin Tingly</v>
      </c>
      <c r="G305" s="9" t="str">
        <f>IF(_xlfn.XLOOKUP(orders!C305,customers!$A$2:$A$1001,customers!$C$2:$C$1001,,,)=0,"",_xlfn.XLOOKUP(orders!C305,customers!$A$2:$A$1001,customers!$C$2:$C$1001,,,))</f>
        <v>dtingly8f@goo.ne.jp</v>
      </c>
      <c r="H305" s="9" t="str">
        <f>_xlfn.XLOOKUP(C305,customers!$A$2:$A$1001,customers!$G$2:$G$1001,"")</f>
        <v>United States</v>
      </c>
      <c r="I305" s="10" t="str">
        <f>INDEX(products!$A$2:$G$49,MATCH(orders!$D305,products!$A$2:$A$49,0),MATCH(orders!I$1,products!$A$1:$G$1,0))</f>
        <v>Exc</v>
      </c>
      <c r="J305" s="10" t="str">
        <f>INDEX(products!$A$2:$G$49,MATCH(orders!$D305,products!$A$2:$A$49,0),MATCH(orders!J$1,products!$A$1:$G$1,0))</f>
        <v>D</v>
      </c>
      <c r="K305" s="11">
        <f>INDEX(products!$A$2:$G$49,MATCH(orders!$D305,products!$A$2:$A$49,0),MATCH(orders!K$1,products!$A$1:$G$1,0))</f>
        <v>2.5</v>
      </c>
      <c r="L305" s="12">
        <f>INDEX(products!$A$2:$G$49,MATCH(orders!$D305,products!$A$2:$A$49,0),MATCH(orders!L$1,products!$A$1:$G$1,0))</f>
        <v>27.945</v>
      </c>
      <c r="M305" s="12">
        <f t="shared" si="12"/>
        <v>111.78</v>
      </c>
      <c r="N305" s="10" t="str">
        <f t="shared" si="13"/>
        <v>Excelsa</v>
      </c>
      <c r="O305" s="10" t="str">
        <f t="shared" si="14"/>
        <v>Dark</v>
      </c>
      <c r="P305" s="10" t="str">
        <f>_xlfn.XLOOKUP(Tableau1[[#This Row],[Customer ID]],customers!A$2:A$1001,customers!I$2:I$1001)</f>
        <v>Yes</v>
      </c>
    </row>
    <row r="306" spans="1:16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9" t="str">
        <f>_xlfn.XLOOKUP(orders!C306,customers!$A$2:$A$1001,customers!$B$2:$B$1001)</f>
        <v>Claudetta Rushe</v>
      </c>
      <c r="G306" s="9" t="str">
        <f>IF(_xlfn.XLOOKUP(orders!C306,customers!$A$2:$A$1001,customers!$C$2:$C$1001,,,)=0,"",_xlfn.XLOOKUP(orders!C306,customers!$A$2:$A$1001,customers!$C$2:$C$1001,,,))</f>
        <v>crushe8n@about.me</v>
      </c>
      <c r="H306" s="9" t="str">
        <f>_xlfn.XLOOKUP(C306,customers!$A$2:$A$1001,customers!$G$2:$G$1001,"")</f>
        <v>United States</v>
      </c>
      <c r="I306" s="10" t="str">
        <f>INDEX(products!$A$2:$G$49,MATCH(orders!$D306,products!$A$2:$A$49,0),MATCH(orders!I$1,products!$A$1:$G$1,0))</f>
        <v>Ara</v>
      </c>
      <c r="J306" s="10" t="str">
        <f>INDEX(products!$A$2:$G$49,MATCH(orders!$D306,products!$A$2:$A$49,0),MATCH(orders!J$1,products!$A$1:$G$1,0))</f>
        <v>L</v>
      </c>
      <c r="K306" s="11">
        <f>INDEX(products!$A$2:$G$49,MATCH(orders!$D306,products!$A$2:$A$49,0),MATCH(orders!K$1,products!$A$1:$G$1,0))</f>
        <v>0.2</v>
      </c>
      <c r="L306" s="12">
        <f>INDEX(products!$A$2:$G$49,MATCH(orders!$D306,products!$A$2:$A$49,0),MATCH(orders!L$1,products!$A$1:$G$1,0))</f>
        <v>3.8849999999999998</v>
      </c>
      <c r="M306" s="12">
        <f t="shared" si="12"/>
        <v>3.8849999999999998</v>
      </c>
      <c r="N306" s="10" t="str">
        <f t="shared" si="13"/>
        <v>Arabica</v>
      </c>
      <c r="O306" s="10" t="str">
        <f t="shared" si="14"/>
        <v>Light</v>
      </c>
      <c r="P306" s="10" t="str">
        <f>_xlfn.XLOOKUP(Tableau1[[#This Row],[Customer ID]],customers!A$2:A$1001,customers!I$2:I$1001)</f>
        <v>Yes</v>
      </c>
    </row>
    <row r="307" spans="1:16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9" t="str">
        <f>_xlfn.XLOOKUP(orders!C307,customers!$A$2:$A$1001,customers!$B$2:$B$1001)</f>
        <v>Benn Checci</v>
      </c>
      <c r="G307" s="9" t="str">
        <f>IF(_xlfn.XLOOKUP(orders!C307,customers!$A$2:$A$1001,customers!$C$2:$C$1001,,,)=0,"",_xlfn.XLOOKUP(orders!C307,customers!$A$2:$A$1001,customers!$C$2:$C$1001,,,))</f>
        <v>bchecci8h@usa.gov</v>
      </c>
      <c r="H307" s="9" t="str">
        <f>_xlfn.XLOOKUP(C307,customers!$A$2:$A$1001,customers!$G$2:$G$1001,"")</f>
        <v>United Kingdom</v>
      </c>
      <c r="I307" s="10" t="str">
        <f>INDEX(products!$A$2:$G$49,MATCH(orders!$D307,products!$A$2:$A$49,0),MATCH(orders!I$1,products!$A$1:$G$1,0))</f>
        <v>Lib</v>
      </c>
      <c r="J307" s="10" t="str">
        <f>INDEX(products!$A$2:$G$49,MATCH(orders!$D307,products!$A$2:$A$49,0),MATCH(orders!J$1,products!$A$1:$G$1,0))</f>
        <v>M</v>
      </c>
      <c r="K307" s="11">
        <f>INDEX(products!$A$2:$G$49,MATCH(orders!$D307,products!$A$2:$A$49,0),MATCH(orders!K$1,products!$A$1:$G$1,0))</f>
        <v>0.2</v>
      </c>
      <c r="L307" s="12">
        <f>INDEX(products!$A$2:$G$49,MATCH(orders!$D307,products!$A$2:$A$49,0),MATCH(orders!L$1,products!$A$1:$G$1,0))</f>
        <v>4.3650000000000002</v>
      </c>
      <c r="M307" s="12">
        <f t="shared" si="12"/>
        <v>21.825000000000003</v>
      </c>
      <c r="N307" s="10" t="str">
        <f t="shared" si="13"/>
        <v>Liberica</v>
      </c>
      <c r="O307" s="10" t="str">
        <f t="shared" si="14"/>
        <v>Medium</v>
      </c>
      <c r="P307" s="10" t="str">
        <f>_xlfn.XLOOKUP(Tableau1[[#This Row],[Customer ID]],customers!A$2:A$1001,customers!I$2:I$1001)</f>
        <v>No</v>
      </c>
    </row>
    <row r="308" spans="1:16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9" t="str">
        <f>_xlfn.XLOOKUP(orders!C308,customers!$A$2:$A$1001,customers!$B$2:$B$1001)</f>
        <v>Janifer Bagot</v>
      </c>
      <c r="G308" s="9" t="str">
        <f>IF(_xlfn.XLOOKUP(orders!C308,customers!$A$2:$A$1001,customers!$C$2:$C$1001,,,)=0,"",_xlfn.XLOOKUP(orders!C308,customers!$A$2:$A$1001,customers!$C$2:$C$1001,,,))</f>
        <v>jbagot8i@mac.com</v>
      </c>
      <c r="H308" s="9" t="str">
        <f>_xlfn.XLOOKUP(C308,customers!$A$2:$A$1001,customers!$G$2:$G$1001,"")</f>
        <v>United States</v>
      </c>
      <c r="I308" s="10" t="str">
        <f>INDEX(products!$A$2:$G$49,MATCH(orders!$D308,products!$A$2:$A$49,0),MATCH(orders!I$1,products!$A$1:$G$1,0))</f>
        <v>Rob</v>
      </c>
      <c r="J308" s="10" t="str">
        <f>INDEX(products!$A$2:$G$49,MATCH(orders!$D308,products!$A$2:$A$49,0),MATCH(orders!J$1,products!$A$1:$G$1,0))</f>
        <v>M</v>
      </c>
      <c r="K308" s="11">
        <f>INDEX(products!$A$2:$G$49,MATCH(orders!$D308,products!$A$2:$A$49,0),MATCH(orders!K$1,products!$A$1:$G$1,0))</f>
        <v>0.2</v>
      </c>
      <c r="L308" s="12">
        <f>INDEX(products!$A$2:$G$49,MATCH(orders!$D308,products!$A$2:$A$49,0),MATCH(orders!L$1,products!$A$1:$G$1,0))</f>
        <v>2.9849999999999999</v>
      </c>
      <c r="M308" s="12">
        <f t="shared" si="12"/>
        <v>14.924999999999999</v>
      </c>
      <c r="N308" s="10" t="str">
        <f t="shared" si="13"/>
        <v>Robusta</v>
      </c>
      <c r="O308" s="10" t="str">
        <f t="shared" si="14"/>
        <v>Medium</v>
      </c>
      <c r="P308" s="10" t="str">
        <f>_xlfn.XLOOKUP(Tableau1[[#This Row],[Customer ID]],customers!A$2:A$1001,customers!I$2:I$1001)</f>
        <v>No</v>
      </c>
    </row>
    <row r="309" spans="1:16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9" t="str">
        <f>_xlfn.XLOOKUP(orders!C309,customers!$A$2:$A$1001,customers!$B$2:$B$1001)</f>
        <v>Ermin Beeble</v>
      </c>
      <c r="G309" s="9" t="str">
        <f>IF(_xlfn.XLOOKUP(orders!C309,customers!$A$2:$A$1001,customers!$C$2:$C$1001,,,)=0,"",_xlfn.XLOOKUP(orders!C309,customers!$A$2:$A$1001,customers!$C$2:$C$1001,,,))</f>
        <v>ebeeble8j@soundcloud.com</v>
      </c>
      <c r="H309" s="9" t="str">
        <f>_xlfn.XLOOKUP(C309,customers!$A$2:$A$1001,customers!$G$2:$G$1001,"")</f>
        <v>United States</v>
      </c>
      <c r="I309" s="10" t="str">
        <f>INDEX(products!$A$2:$G$49,MATCH(orders!$D309,products!$A$2:$A$49,0),MATCH(orders!I$1,products!$A$1:$G$1,0))</f>
        <v>Ara</v>
      </c>
      <c r="J309" s="10" t="str">
        <f>INDEX(products!$A$2:$G$49,MATCH(orders!$D309,products!$A$2:$A$49,0),MATCH(orders!J$1,products!$A$1:$G$1,0))</f>
        <v>M</v>
      </c>
      <c r="K309" s="11">
        <f>INDEX(products!$A$2:$G$49,MATCH(orders!$D309,products!$A$2:$A$49,0),MATCH(orders!K$1,products!$A$1:$G$1,0))</f>
        <v>1</v>
      </c>
      <c r="L309" s="12">
        <f>INDEX(products!$A$2:$G$49,MATCH(orders!$D309,products!$A$2:$A$49,0),MATCH(orders!L$1,products!$A$1:$G$1,0))</f>
        <v>11.25</v>
      </c>
      <c r="M309" s="12">
        <f t="shared" si="12"/>
        <v>33.75</v>
      </c>
      <c r="N309" s="10" t="str">
        <f t="shared" si="13"/>
        <v>Arabica</v>
      </c>
      <c r="O309" s="10" t="str">
        <f t="shared" si="14"/>
        <v>Medium</v>
      </c>
      <c r="P309" s="10" t="str">
        <f>_xlfn.XLOOKUP(Tableau1[[#This Row],[Customer ID]],customers!A$2:A$1001,customers!I$2:I$1001)</f>
        <v>Yes</v>
      </c>
    </row>
    <row r="310" spans="1:16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9" t="str">
        <f>_xlfn.XLOOKUP(orders!C310,customers!$A$2:$A$1001,customers!$B$2:$B$1001)</f>
        <v>Cos Fluin</v>
      </c>
      <c r="G310" s="9" t="str">
        <f>IF(_xlfn.XLOOKUP(orders!C310,customers!$A$2:$A$1001,customers!$C$2:$C$1001,,,)=0,"",_xlfn.XLOOKUP(orders!C310,customers!$A$2:$A$1001,customers!$C$2:$C$1001,,,))</f>
        <v>cfluin8k@flickr.com</v>
      </c>
      <c r="H310" s="9" t="str">
        <f>_xlfn.XLOOKUP(C310,customers!$A$2:$A$1001,customers!$G$2:$G$1001,"")</f>
        <v>United Kingdom</v>
      </c>
      <c r="I310" s="10" t="str">
        <f>INDEX(products!$A$2:$G$49,MATCH(orders!$D310,products!$A$2:$A$49,0),MATCH(orders!I$1,products!$A$1:$G$1,0))</f>
        <v>Ara</v>
      </c>
      <c r="J310" s="10" t="str">
        <f>INDEX(products!$A$2:$G$49,MATCH(orders!$D310,products!$A$2:$A$49,0),MATCH(orders!J$1,products!$A$1:$G$1,0))</f>
        <v>M</v>
      </c>
      <c r="K310" s="11">
        <f>INDEX(products!$A$2:$G$49,MATCH(orders!$D310,products!$A$2:$A$49,0),MATCH(orders!K$1,products!$A$1:$G$1,0))</f>
        <v>1</v>
      </c>
      <c r="L310" s="12">
        <f>INDEX(products!$A$2:$G$49,MATCH(orders!$D310,products!$A$2:$A$49,0),MATCH(orders!L$1,products!$A$1:$G$1,0))</f>
        <v>11.25</v>
      </c>
      <c r="M310" s="12">
        <f t="shared" si="12"/>
        <v>33.75</v>
      </c>
      <c r="N310" s="10" t="str">
        <f t="shared" si="13"/>
        <v>Arabica</v>
      </c>
      <c r="O310" s="10" t="str">
        <f t="shared" si="14"/>
        <v>Medium</v>
      </c>
      <c r="P310" s="10" t="str">
        <f>_xlfn.XLOOKUP(Tableau1[[#This Row],[Customer ID]],customers!A$2:A$1001,customers!I$2:I$1001)</f>
        <v>No</v>
      </c>
    </row>
    <row r="311" spans="1:16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9" t="str">
        <f>_xlfn.XLOOKUP(orders!C311,customers!$A$2:$A$1001,customers!$B$2:$B$1001)</f>
        <v>Eveleen Bletsor</v>
      </c>
      <c r="G311" s="9" t="str">
        <f>IF(_xlfn.XLOOKUP(orders!C311,customers!$A$2:$A$1001,customers!$C$2:$C$1001,,,)=0,"",_xlfn.XLOOKUP(orders!C311,customers!$A$2:$A$1001,customers!$C$2:$C$1001,,,))</f>
        <v>ebletsor8l@vinaora.com</v>
      </c>
      <c r="H311" s="9" t="str">
        <f>_xlfn.XLOOKUP(C311,customers!$A$2:$A$1001,customers!$G$2:$G$1001,"")</f>
        <v>United States</v>
      </c>
      <c r="I311" s="10" t="str">
        <f>INDEX(products!$A$2:$G$49,MATCH(orders!$D311,products!$A$2:$A$49,0),MATCH(orders!I$1,products!$A$1:$G$1,0))</f>
        <v>Lib</v>
      </c>
      <c r="J311" s="10" t="str">
        <f>INDEX(products!$A$2:$G$49,MATCH(orders!$D311,products!$A$2:$A$49,0),MATCH(orders!J$1,products!$A$1:$G$1,0))</f>
        <v>M</v>
      </c>
      <c r="K311" s="11">
        <f>INDEX(products!$A$2:$G$49,MATCH(orders!$D311,products!$A$2:$A$49,0),MATCH(orders!K$1,products!$A$1:$G$1,0))</f>
        <v>0.2</v>
      </c>
      <c r="L311" s="12">
        <f>INDEX(products!$A$2:$G$49,MATCH(orders!$D311,products!$A$2:$A$49,0),MATCH(orders!L$1,products!$A$1:$G$1,0))</f>
        <v>4.3650000000000002</v>
      </c>
      <c r="M311" s="12">
        <f t="shared" si="12"/>
        <v>26.19</v>
      </c>
      <c r="N311" s="10" t="str">
        <f t="shared" si="13"/>
        <v>Liberica</v>
      </c>
      <c r="O311" s="10" t="str">
        <f t="shared" si="14"/>
        <v>Medium</v>
      </c>
      <c r="P311" s="10" t="str">
        <f>_xlfn.XLOOKUP(Tableau1[[#This Row],[Customer ID]],customers!A$2:A$1001,customers!I$2:I$1001)</f>
        <v>Yes</v>
      </c>
    </row>
    <row r="312" spans="1:16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9" t="str">
        <f>_xlfn.XLOOKUP(orders!C312,customers!$A$2:$A$1001,customers!$B$2:$B$1001)</f>
        <v>Paola Brydell</v>
      </c>
      <c r="G312" s="9" t="str">
        <f>IF(_xlfn.XLOOKUP(orders!C312,customers!$A$2:$A$1001,customers!$C$2:$C$1001,,,)=0,"",_xlfn.XLOOKUP(orders!C312,customers!$A$2:$A$1001,customers!$C$2:$C$1001,,,))</f>
        <v>pbrydell8m@bloglovin.com</v>
      </c>
      <c r="H312" s="9" t="str">
        <f>_xlfn.XLOOKUP(C312,customers!$A$2:$A$1001,customers!$G$2:$G$1001,"")</f>
        <v>Ireland</v>
      </c>
      <c r="I312" s="10" t="str">
        <f>INDEX(products!$A$2:$G$49,MATCH(orders!$D312,products!$A$2:$A$49,0),MATCH(orders!I$1,products!$A$1:$G$1,0))</f>
        <v>Exc</v>
      </c>
      <c r="J312" s="10" t="str">
        <f>INDEX(products!$A$2:$G$49,MATCH(orders!$D312,products!$A$2:$A$49,0),MATCH(orders!J$1,products!$A$1:$G$1,0))</f>
        <v>L</v>
      </c>
      <c r="K312" s="11">
        <f>INDEX(products!$A$2:$G$49,MATCH(orders!$D312,products!$A$2:$A$49,0),MATCH(orders!K$1,products!$A$1:$G$1,0))</f>
        <v>1</v>
      </c>
      <c r="L312" s="12">
        <f>INDEX(products!$A$2:$G$49,MATCH(orders!$D312,products!$A$2:$A$49,0),MATCH(orders!L$1,products!$A$1:$G$1,0))</f>
        <v>14.85</v>
      </c>
      <c r="M312" s="12">
        <f t="shared" si="12"/>
        <v>14.85</v>
      </c>
      <c r="N312" s="10" t="str">
        <f t="shared" si="13"/>
        <v>Excelsa</v>
      </c>
      <c r="O312" s="10" t="str">
        <f t="shared" si="14"/>
        <v>Light</v>
      </c>
      <c r="P312" s="10" t="str">
        <f>_xlfn.XLOOKUP(Tableau1[[#This Row],[Customer ID]],customers!A$2:A$1001,customers!I$2:I$1001)</f>
        <v>No</v>
      </c>
    </row>
    <row r="313" spans="1:16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9" t="str">
        <f>_xlfn.XLOOKUP(orders!C313,customers!$A$2:$A$1001,customers!$B$2:$B$1001)</f>
        <v>Claudetta Rushe</v>
      </c>
      <c r="G313" s="9" t="str">
        <f>IF(_xlfn.XLOOKUP(orders!C313,customers!$A$2:$A$1001,customers!$C$2:$C$1001,,,)=0,"",_xlfn.XLOOKUP(orders!C313,customers!$A$2:$A$1001,customers!$C$2:$C$1001,,,))</f>
        <v>crushe8n@about.me</v>
      </c>
      <c r="H313" s="9" t="str">
        <f>_xlfn.XLOOKUP(C313,customers!$A$2:$A$1001,customers!$G$2:$G$1001,"")</f>
        <v>United States</v>
      </c>
      <c r="I313" s="10" t="str">
        <f>INDEX(products!$A$2:$G$49,MATCH(orders!$D313,products!$A$2:$A$49,0),MATCH(orders!I$1,products!$A$1:$G$1,0))</f>
        <v>Exc</v>
      </c>
      <c r="J313" s="10" t="str">
        <f>INDEX(products!$A$2:$G$49,MATCH(orders!$D313,products!$A$2:$A$49,0),MATCH(orders!J$1,products!$A$1:$G$1,0))</f>
        <v>M</v>
      </c>
      <c r="K313" s="11">
        <f>INDEX(products!$A$2:$G$49,MATCH(orders!$D313,products!$A$2:$A$49,0),MATCH(orders!K$1,products!$A$1:$G$1,0))</f>
        <v>2.5</v>
      </c>
      <c r="L313" s="12">
        <f>INDEX(products!$A$2:$G$49,MATCH(orders!$D313,products!$A$2:$A$49,0),MATCH(orders!L$1,products!$A$1:$G$1,0))</f>
        <v>31.624999999999996</v>
      </c>
      <c r="M313" s="12">
        <f t="shared" si="12"/>
        <v>189.74999999999997</v>
      </c>
      <c r="N313" s="10" t="str">
        <f t="shared" si="13"/>
        <v>Excelsa</v>
      </c>
      <c r="O313" s="10" t="str">
        <f t="shared" si="14"/>
        <v>Medium</v>
      </c>
      <c r="P313" s="10" t="str">
        <f>_xlfn.XLOOKUP(Tableau1[[#This Row],[Customer ID]],customers!A$2:A$1001,customers!I$2:I$1001)</f>
        <v>Yes</v>
      </c>
    </row>
    <row r="314" spans="1:16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9" t="str">
        <f>_xlfn.XLOOKUP(orders!C314,customers!$A$2:$A$1001,customers!$B$2:$B$1001)</f>
        <v>Natka Leethem</v>
      </c>
      <c r="G314" s="9" t="str">
        <f>IF(_xlfn.XLOOKUP(orders!C314,customers!$A$2:$A$1001,customers!$C$2:$C$1001,,,)=0,"",_xlfn.XLOOKUP(orders!C314,customers!$A$2:$A$1001,customers!$C$2:$C$1001,,,))</f>
        <v>nleethem8o@mac.com</v>
      </c>
      <c r="H314" s="9" t="str">
        <f>_xlfn.XLOOKUP(C314,customers!$A$2:$A$1001,customers!$G$2:$G$1001,"")</f>
        <v>United States</v>
      </c>
      <c r="I314" s="10" t="str">
        <f>INDEX(products!$A$2:$G$49,MATCH(orders!$D314,products!$A$2:$A$49,0),MATCH(orders!I$1,products!$A$1:$G$1,0))</f>
        <v>Rob</v>
      </c>
      <c r="J314" s="10" t="str">
        <f>INDEX(products!$A$2:$G$49,MATCH(orders!$D314,products!$A$2:$A$49,0),MATCH(orders!J$1,products!$A$1:$G$1,0))</f>
        <v>M</v>
      </c>
      <c r="K314" s="11">
        <f>INDEX(products!$A$2:$G$49,MATCH(orders!$D314,products!$A$2:$A$49,0),MATCH(orders!K$1,products!$A$1:$G$1,0))</f>
        <v>0.5</v>
      </c>
      <c r="L314" s="12">
        <f>INDEX(products!$A$2:$G$49,MATCH(orders!$D314,products!$A$2:$A$49,0),MATCH(orders!L$1,products!$A$1:$G$1,0))</f>
        <v>5.97</v>
      </c>
      <c r="M314" s="12">
        <f t="shared" si="12"/>
        <v>5.97</v>
      </c>
      <c r="N314" s="10" t="str">
        <f t="shared" si="13"/>
        <v>Robusta</v>
      </c>
      <c r="O314" s="10" t="str">
        <f t="shared" si="14"/>
        <v>Medium</v>
      </c>
      <c r="P314" s="10" t="str">
        <f>_xlfn.XLOOKUP(Tableau1[[#This Row],[Customer ID]],customers!A$2:A$1001,customers!I$2:I$1001)</f>
        <v>Yes</v>
      </c>
    </row>
    <row r="315" spans="1:16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9" t="str">
        <f>_xlfn.XLOOKUP(orders!C315,customers!$A$2:$A$1001,customers!$B$2:$B$1001)</f>
        <v>Ailene Nesfield</v>
      </c>
      <c r="G315" s="9" t="str">
        <f>IF(_xlfn.XLOOKUP(orders!C315,customers!$A$2:$A$1001,customers!$C$2:$C$1001,,,)=0,"",_xlfn.XLOOKUP(orders!C315,customers!$A$2:$A$1001,customers!$C$2:$C$1001,,,))</f>
        <v>anesfield8p@people.com.cn</v>
      </c>
      <c r="H315" s="9" t="str">
        <f>_xlfn.XLOOKUP(C315,customers!$A$2:$A$1001,customers!$G$2:$G$1001,"")</f>
        <v>United Kingdom</v>
      </c>
      <c r="I315" s="10" t="str">
        <f>INDEX(products!$A$2:$G$49,MATCH(orders!$D315,products!$A$2:$A$49,0),MATCH(orders!I$1,products!$A$1:$G$1,0))</f>
        <v>Rob</v>
      </c>
      <c r="J315" s="10" t="str">
        <f>INDEX(products!$A$2:$G$49,MATCH(orders!$D315,products!$A$2:$A$49,0),MATCH(orders!J$1,products!$A$1:$G$1,0))</f>
        <v>M</v>
      </c>
      <c r="K315" s="11">
        <f>INDEX(products!$A$2:$G$49,MATCH(orders!$D315,products!$A$2:$A$49,0),MATCH(orders!K$1,products!$A$1:$G$1,0))</f>
        <v>1</v>
      </c>
      <c r="L315" s="12">
        <f>INDEX(products!$A$2:$G$49,MATCH(orders!$D315,products!$A$2:$A$49,0),MATCH(orders!L$1,products!$A$1:$G$1,0))</f>
        <v>9.9499999999999993</v>
      </c>
      <c r="M315" s="12">
        <f t="shared" si="12"/>
        <v>29.849999999999998</v>
      </c>
      <c r="N315" s="10" t="str">
        <f t="shared" si="13"/>
        <v>Robusta</v>
      </c>
      <c r="O315" s="10" t="str">
        <f t="shared" si="14"/>
        <v>Medium</v>
      </c>
      <c r="P315" s="10" t="str">
        <f>_xlfn.XLOOKUP(Tableau1[[#This Row],[Customer ID]],customers!A$2:A$1001,customers!I$2:I$1001)</f>
        <v>Yes</v>
      </c>
    </row>
    <row r="316" spans="1:16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9" t="str">
        <f>_xlfn.XLOOKUP(orders!C316,customers!$A$2:$A$1001,customers!$B$2:$B$1001)</f>
        <v>Stacy Pickworth</v>
      </c>
      <c r="G316" s="9" t="str">
        <f>IF(_xlfn.XLOOKUP(orders!C316,customers!$A$2:$A$1001,customers!$C$2:$C$1001,,,)=0,"",_xlfn.XLOOKUP(orders!C316,customers!$A$2:$A$1001,customers!$C$2:$C$1001,,,))</f>
        <v/>
      </c>
      <c r="H316" s="9" t="str">
        <f>_xlfn.XLOOKUP(C316,customers!$A$2:$A$1001,customers!$G$2:$G$1001,"")</f>
        <v>United States</v>
      </c>
      <c r="I316" s="10" t="str">
        <f>INDEX(products!$A$2:$G$49,MATCH(orders!$D316,products!$A$2:$A$49,0),MATCH(orders!I$1,products!$A$1:$G$1,0))</f>
        <v>Rob</v>
      </c>
      <c r="J316" s="10" t="str">
        <f>INDEX(products!$A$2:$G$49,MATCH(orders!$D316,products!$A$2:$A$49,0),MATCH(orders!J$1,products!$A$1:$G$1,0))</f>
        <v>D</v>
      </c>
      <c r="K316" s="11">
        <f>INDEX(products!$A$2:$G$49,MATCH(orders!$D316,products!$A$2:$A$49,0),MATCH(orders!K$1,products!$A$1:$G$1,0))</f>
        <v>1</v>
      </c>
      <c r="L316" s="12">
        <f>INDEX(products!$A$2:$G$49,MATCH(orders!$D316,products!$A$2:$A$49,0),MATCH(orders!L$1,products!$A$1:$G$1,0))</f>
        <v>8.9499999999999993</v>
      </c>
      <c r="M316" s="12">
        <f t="shared" si="12"/>
        <v>44.75</v>
      </c>
      <c r="N316" s="10" t="str">
        <f t="shared" si="13"/>
        <v>Robusta</v>
      </c>
      <c r="O316" s="10" t="str">
        <f t="shared" si="14"/>
        <v>Dark</v>
      </c>
      <c r="P316" s="10" t="str">
        <f>_xlfn.XLOOKUP(Tableau1[[#This Row],[Customer ID]],customers!A$2:A$1001,customers!I$2:I$1001)</f>
        <v>No</v>
      </c>
    </row>
    <row r="317" spans="1:16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9" t="str">
        <f>_xlfn.XLOOKUP(orders!C317,customers!$A$2:$A$1001,customers!$B$2:$B$1001)</f>
        <v>Melli Brockway</v>
      </c>
      <c r="G317" s="9" t="str">
        <f>IF(_xlfn.XLOOKUP(orders!C317,customers!$A$2:$A$1001,customers!$C$2:$C$1001,,,)=0,"",_xlfn.XLOOKUP(orders!C317,customers!$A$2:$A$1001,customers!$C$2:$C$1001,,,))</f>
        <v>mbrockway8r@ibm.com</v>
      </c>
      <c r="H317" s="9" t="str">
        <f>_xlfn.XLOOKUP(C317,customers!$A$2:$A$1001,customers!$G$2:$G$1001,"")</f>
        <v>United States</v>
      </c>
      <c r="I317" s="10" t="str">
        <f>INDEX(products!$A$2:$G$49,MATCH(orders!$D317,products!$A$2:$A$49,0),MATCH(orders!I$1,products!$A$1:$G$1,0))</f>
        <v>Exc</v>
      </c>
      <c r="J317" s="10" t="str">
        <f>INDEX(products!$A$2:$G$49,MATCH(orders!$D317,products!$A$2:$A$49,0),MATCH(orders!J$1,products!$A$1:$G$1,0))</f>
        <v>L</v>
      </c>
      <c r="K317" s="11">
        <f>INDEX(products!$A$2:$G$49,MATCH(orders!$D317,products!$A$2:$A$49,0),MATCH(orders!K$1,products!$A$1:$G$1,0))</f>
        <v>2.5</v>
      </c>
      <c r="L317" s="12">
        <f>INDEX(products!$A$2:$G$49,MATCH(orders!$D317,products!$A$2:$A$49,0),MATCH(orders!L$1,products!$A$1:$G$1,0))</f>
        <v>34.154999999999994</v>
      </c>
      <c r="M317" s="12">
        <f t="shared" si="12"/>
        <v>34.154999999999994</v>
      </c>
      <c r="N317" s="10" t="str">
        <f t="shared" si="13"/>
        <v>Excelsa</v>
      </c>
      <c r="O317" s="10" t="str">
        <f t="shared" si="14"/>
        <v>Light</v>
      </c>
      <c r="P317" s="10" t="str">
        <f>_xlfn.XLOOKUP(Tableau1[[#This Row],[Customer ID]],customers!A$2:A$1001,customers!I$2:I$1001)</f>
        <v>Yes</v>
      </c>
    </row>
    <row r="318" spans="1:16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9" t="str">
        <f>_xlfn.XLOOKUP(orders!C318,customers!$A$2:$A$1001,customers!$B$2:$B$1001)</f>
        <v>Nanny Lush</v>
      </c>
      <c r="G318" s="9" t="str">
        <f>IF(_xlfn.XLOOKUP(orders!C318,customers!$A$2:$A$1001,customers!$C$2:$C$1001,,,)=0,"",_xlfn.XLOOKUP(orders!C318,customers!$A$2:$A$1001,customers!$C$2:$C$1001,,,))</f>
        <v>nlush8s@dedecms.com</v>
      </c>
      <c r="H318" s="9" t="str">
        <f>_xlfn.XLOOKUP(C318,customers!$A$2:$A$1001,customers!$G$2:$G$1001,"")</f>
        <v>Ireland</v>
      </c>
      <c r="I318" s="10" t="str">
        <f>INDEX(products!$A$2:$G$49,MATCH(orders!$D318,products!$A$2:$A$49,0),MATCH(orders!I$1,products!$A$1:$G$1,0))</f>
        <v>Exc</v>
      </c>
      <c r="J318" s="10" t="str">
        <f>INDEX(products!$A$2:$G$49,MATCH(orders!$D318,products!$A$2:$A$49,0),MATCH(orders!J$1,products!$A$1:$G$1,0))</f>
        <v>L</v>
      </c>
      <c r="K318" s="11">
        <f>INDEX(products!$A$2:$G$49,MATCH(orders!$D318,products!$A$2:$A$49,0),MATCH(orders!K$1,products!$A$1:$G$1,0))</f>
        <v>2.5</v>
      </c>
      <c r="L318" s="12">
        <f>INDEX(products!$A$2:$G$49,MATCH(orders!$D318,products!$A$2:$A$49,0),MATCH(orders!L$1,products!$A$1:$G$1,0))</f>
        <v>34.154999999999994</v>
      </c>
      <c r="M318" s="12">
        <f t="shared" si="12"/>
        <v>204.92999999999995</v>
      </c>
      <c r="N318" s="10" t="str">
        <f t="shared" si="13"/>
        <v>Excelsa</v>
      </c>
      <c r="O318" s="10" t="str">
        <f t="shared" si="14"/>
        <v>Light</v>
      </c>
      <c r="P318" s="10" t="str">
        <f>_xlfn.XLOOKUP(Tableau1[[#This Row],[Customer ID]],customers!A$2:A$1001,customers!I$2:I$1001)</f>
        <v>No</v>
      </c>
    </row>
    <row r="319" spans="1:16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9" t="str">
        <f>_xlfn.XLOOKUP(orders!C319,customers!$A$2:$A$1001,customers!$B$2:$B$1001)</f>
        <v>Selma McMillian</v>
      </c>
      <c r="G319" s="9" t="str">
        <f>IF(_xlfn.XLOOKUP(orders!C319,customers!$A$2:$A$1001,customers!$C$2:$C$1001,,,)=0,"",_xlfn.XLOOKUP(orders!C319,customers!$A$2:$A$1001,customers!$C$2:$C$1001,,,))</f>
        <v>smcmillian8t@csmonitor.com</v>
      </c>
      <c r="H319" s="9" t="str">
        <f>_xlfn.XLOOKUP(C319,customers!$A$2:$A$1001,customers!$G$2:$G$1001,"")</f>
        <v>United States</v>
      </c>
      <c r="I319" s="10" t="str">
        <f>INDEX(products!$A$2:$G$49,MATCH(orders!$D319,products!$A$2:$A$49,0),MATCH(orders!I$1,products!$A$1:$G$1,0))</f>
        <v>Exc</v>
      </c>
      <c r="J319" s="10" t="str">
        <f>INDEX(products!$A$2:$G$49,MATCH(orders!$D319,products!$A$2:$A$49,0),MATCH(orders!J$1,products!$A$1:$G$1,0))</f>
        <v>D</v>
      </c>
      <c r="K319" s="11">
        <f>INDEX(products!$A$2:$G$49,MATCH(orders!$D319,products!$A$2:$A$49,0),MATCH(orders!K$1,products!$A$1:$G$1,0))</f>
        <v>0.5</v>
      </c>
      <c r="L319" s="12">
        <f>INDEX(products!$A$2:$G$49,MATCH(orders!$D319,products!$A$2:$A$49,0),MATCH(orders!L$1,products!$A$1:$G$1,0))</f>
        <v>7.29</v>
      </c>
      <c r="M319" s="12">
        <f t="shared" si="12"/>
        <v>21.87</v>
      </c>
      <c r="N319" s="10" t="str">
        <f t="shared" si="13"/>
        <v>Excelsa</v>
      </c>
      <c r="O319" s="10" t="str">
        <f t="shared" si="14"/>
        <v>Dark</v>
      </c>
      <c r="P319" s="10" t="str">
        <f>_xlfn.XLOOKUP(Tableau1[[#This Row],[Customer ID]],customers!A$2:A$1001,customers!I$2:I$1001)</f>
        <v>No</v>
      </c>
    </row>
    <row r="320" spans="1:16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9" t="str">
        <f>_xlfn.XLOOKUP(orders!C320,customers!$A$2:$A$1001,customers!$B$2:$B$1001)</f>
        <v>Tess Bennison</v>
      </c>
      <c r="G320" s="9" t="str">
        <f>IF(_xlfn.XLOOKUP(orders!C320,customers!$A$2:$A$1001,customers!$C$2:$C$1001,,,)=0,"",_xlfn.XLOOKUP(orders!C320,customers!$A$2:$A$1001,customers!$C$2:$C$1001,,,))</f>
        <v>tbennison8u@google.cn</v>
      </c>
      <c r="H320" s="9" t="str">
        <f>_xlfn.XLOOKUP(C320,customers!$A$2:$A$1001,customers!$G$2:$G$1001,"")</f>
        <v>United States</v>
      </c>
      <c r="I320" s="10" t="str">
        <f>INDEX(products!$A$2:$G$49,MATCH(orders!$D320,products!$A$2:$A$49,0),MATCH(orders!I$1,products!$A$1:$G$1,0))</f>
        <v>Ara</v>
      </c>
      <c r="J320" s="10" t="str">
        <f>INDEX(products!$A$2:$G$49,MATCH(orders!$D320,products!$A$2:$A$49,0),MATCH(orders!J$1,products!$A$1:$G$1,0))</f>
        <v>M</v>
      </c>
      <c r="K320" s="11">
        <f>INDEX(products!$A$2:$G$49,MATCH(orders!$D320,products!$A$2:$A$49,0),MATCH(orders!K$1,products!$A$1:$G$1,0))</f>
        <v>2.5</v>
      </c>
      <c r="L320" s="12">
        <f>INDEX(products!$A$2:$G$49,MATCH(orders!$D320,products!$A$2:$A$49,0),MATCH(orders!L$1,products!$A$1:$G$1,0))</f>
        <v>25.874999999999996</v>
      </c>
      <c r="M320" s="12">
        <f t="shared" si="12"/>
        <v>51.749999999999993</v>
      </c>
      <c r="N320" s="10" t="str">
        <f t="shared" si="13"/>
        <v>Arabica</v>
      </c>
      <c r="O320" s="10" t="str">
        <f t="shared" si="14"/>
        <v>Medium</v>
      </c>
      <c r="P320" s="10" t="str">
        <f>_xlfn.XLOOKUP(Tableau1[[#This Row],[Customer ID]],customers!A$2:A$1001,customers!I$2:I$1001)</f>
        <v>Yes</v>
      </c>
    </row>
    <row r="321" spans="1:16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9" t="str">
        <f>_xlfn.XLOOKUP(orders!C321,customers!$A$2:$A$1001,customers!$B$2:$B$1001)</f>
        <v>Gabie Tweed</v>
      </c>
      <c r="G321" s="9" t="str">
        <f>IF(_xlfn.XLOOKUP(orders!C321,customers!$A$2:$A$1001,customers!$C$2:$C$1001,,,)=0,"",_xlfn.XLOOKUP(orders!C321,customers!$A$2:$A$1001,customers!$C$2:$C$1001,,,))</f>
        <v>gtweed8v@yolasite.com</v>
      </c>
      <c r="H321" s="9" t="str">
        <f>_xlfn.XLOOKUP(C321,customers!$A$2:$A$1001,customers!$G$2:$G$1001,"")</f>
        <v>United States</v>
      </c>
      <c r="I321" s="10" t="str">
        <f>INDEX(products!$A$2:$G$49,MATCH(orders!$D321,products!$A$2:$A$49,0),MATCH(orders!I$1,products!$A$1:$G$1,0))</f>
        <v>Exc</v>
      </c>
      <c r="J321" s="10" t="str">
        <f>INDEX(products!$A$2:$G$49,MATCH(orders!$D321,products!$A$2:$A$49,0),MATCH(orders!J$1,products!$A$1:$G$1,0))</f>
        <v>M</v>
      </c>
      <c r="K321" s="11">
        <f>INDEX(products!$A$2:$G$49,MATCH(orders!$D321,products!$A$2:$A$49,0),MATCH(orders!K$1,products!$A$1:$G$1,0))</f>
        <v>0.2</v>
      </c>
      <c r="L321" s="12">
        <f>INDEX(products!$A$2:$G$49,MATCH(orders!$D321,products!$A$2:$A$49,0),MATCH(orders!L$1,products!$A$1:$G$1,0))</f>
        <v>4.125</v>
      </c>
      <c r="M321" s="12">
        <f t="shared" si="12"/>
        <v>8.25</v>
      </c>
      <c r="N321" s="10" t="str">
        <f t="shared" si="13"/>
        <v>Excelsa</v>
      </c>
      <c r="O321" s="10" t="str">
        <f t="shared" si="14"/>
        <v>Medium</v>
      </c>
      <c r="P321" s="10" t="str">
        <f>_xlfn.XLOOKUP(Tableau1[[#This Row],[Customer ID]],customers!A$2:A$1001,customers!I$2:I$1001)</f>
        <v>Yes</v>
      </c>
    </row>
    <row r="322" spans="1:16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9" t="str">
        <f>_xlfn.XLOOKUP(orders!C322,customers!$A$2:$A$1001,customers!$B$2:$B$1001)</f>
        <v>Gabie Tweed</v>
      </c>
      <c r="G322" s="9" t="str">
        <f>IF(_xlfn.XLOOKUP(orders!C322,customers!$A$2:$A$1001,customers!$C$2:$C$1001,,,)=0,"",_xlfn.XLOOKUP(orders!C322,customers!$A$2:$A$1001,customers!$C$2:$C$1001,,,))</f>
        <v>gtweed8v@yolasite.com</v>
      </c>
      <c r="H322" s="9" t="str">
        <f>_xlfn.XLOOKUP(C322,customers!$A$2:$A$1001,customers!$G$2:$G$1001,"")</f>
        <v>United States</v>
      </c>
      <c r="I322" s="10" t="str">
        <f>INDEX(products!$A$2:$G$49,MATCH(orders!$D322,products!$A$2:$A$49,0),MATCH(orders!I$1,products!$A$1:$G$1,0))</f>
        <v>Ara</v>
      </c>
      <c r="J322" s="10" t="str">
        <f>INDEX(products!$A$2:$G$49,MATCH(orders!$D322,products!$A$2:$A$49,0),MATCH(orders!J$1,products!$A$1:$G$1,0))</f>
        <v>L</v>
      </c>
      <c r="K322" s="11">
        <f>INDEX(products!$A$2:$G$49,MATCH(orders!$D322,products!$A$2:$A$49,0),MATCH(orders!K$1,products!$A$1:$G$1,0))</f>
        <v>0.2</v>
      </c>
      <c r="L322" s="12">
        <f>INDEX(products!$A$2:$G$49,MATCH(orders!$D322,products!$A$2:$A$49,0),MATCH(orders!L$1,products!$A$1:$G$1,0))</f>
        <v>3.8849999999999998</v>
      </c>
      <c r="M322" s="12">
        <f t="shared" si="12"/>
        <v>19.424999999999997</v>
      </c>
      <c r="N322" s="10" t="str">
        <f t="shared" si="13"/>
        <v>Arabica</v>
      </c>
      <c r="O322" s="10" t="str">
        <f t="shared" si="14"/>
        <v>Light</v>
      </c>
      <c r="P322" s="10" t="str">
        <f>_xlfn.XLOOKUP(Tableau1[[#This Row],[Customer ID]],customers!A$2:A$1001,customers!I$2:I$1001)</f>
        <v>Yes</v>
      </c>
    </row>
    <row r="323" spans="1:16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9" t="str">
        <f>_xlfn.XLOOKUP(orders!C323,customers!$A$2:$A$1001,customers!$B$2:$B$1001)</f>
        <v>Gaile Goggin</v>
      </c>
      <c r="G323" s="9" t="str">
        <f>IF(_xlfn.XLOOKUP(orders!C323,customers!$A$2:$A$1001,customers!$C$2:$C$1001,,,)=0,"",_xlfn.XLOOKUP(orders!C323,customers!$A$2:$A$1001,customers!$C$2:$C$1001,,,))</f>
        <v>ggoggin8x@wix.com</v>
      </c>
      <c r="H323" s="9" t="str">
        <f>_xlfn.XLOOKUP(C323,customers!$A$2:$A$1001,customers!$G$2:$G$1001,"")</f>
        <v>Ireland</v>
      </c>
      <c r="I323" s="10" t="str">
        <f>INDEX(products!$A$2:$G$49,MATCH(orders!$D323,products!$A$2:$A$49,0),MATCH(orders!I$1,products!$A$1:$G$1,0))</f>
        <v>Ara</v>
      </c>
      <c r="J323" s="10" t="str">
        <f>INDEX(products!$A$2:$G$49,MATCH(orders!$D323,products!$A$2:$A$49,0),MATCH(orders!J$1,products!$A$1:$G$1,0))</f>
        <v>M</v>
      </c>
      <c r="K323" s="11">
        <f>INDEX(products!$A$2:$G$49,MATCH(orders!$D323,products!$A$2:$A$49,0),MATCH(orders!K$1,products!$A$1:$G$1,0))</f>
        <v>0.2</v>
      </c>
      <c r="L323" s="12">
        <f>INDEX(products!$A$2:$G$49,MATCH(orders!$D323,products!$A$2:$A$49,0),MATCH(orders!L$1,products!$A$1:$G$1,0))</f>
        <v>3.375</v>
      </c>
      <c r="M323" s="12">
        <f t="shared" ref="M323:M386" si="15">L323*E323</f>
        <v>20.25</v>
      </c>
      <c r="N323" s="10" t="str">
        <f t="shared" ref="N323:N386" si="16">IF(I323="Rob","Robusta",IF(I323="Exc","Excelsa",IF(I323="Ara","Arabica",IF(I323="Lib","Liberica"))))</f>
        <v>Arabica</v>
      </c>
      <c r="O323" s="10" t="str">
        <f t="shared" ref="O323:O386" si="17">IF(J323="M","Medium",IF(J323="L","Light",IF(J323="D","Dark")))</f>
        <v>Medium</v>
      </c>
      <c r="P323" s="10" t="str">
        <f>_xlfn.XLOOKUP(Tableau1[[#This Row],[Customer ID]],customers!A$2:A$1001,customers!I$2:I$1001)</f>
        <v>Yes</v>
      </c>
    </row>
    <row r="324" spans="1:16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9" t="str">
        <f>_xlfn.XLOOKUP(orders!C324,customers!$A$2:$A$1001,customers!$B$2:$B$1001)</f>
        <v>Skylar Jeyness</v>
      </c>
      <c r="G324" s="9" t="str">
        <f>IF(_xlfn.XLOOKUP(orders!C324,customers!$A$2:$A$1001,customers!$C$2:$C$1001,,,)=0,"",_xlfn.XLOOKUP(orders!C324,customers!$A$2:$A$1001,customers!$C$2:$C$1001,,,))</f>
        <v>sjeyness8y@biglobe.ne.jp</v>
      </c>
      <c r="H324" s="9" t="str">
        <f>_xlfn.XLOOKUP(C324,customers!$A$2:$A$1001,customers!$G$2:$G$1001,"")</f>
        <v>Ireland</v>
      </c>
      <c r="I324" s="10" t="str">
        <f>INDEX(products!$A$2:$G$49,MATCH(orders!$D324,products!$A$2:$A$49,0),MATCH(orders!I$1,products!$A$1:$G$1,0))</f>
        <v>Lib</v>
      </c>
      <c r="J324" s="10" t="str">
        <f>INDEX(products!$A$2:$G$49,MATCH(orders!$D324,products!$A$2:$A$49,0),MATCH(orders!J$1,products!$A$1:$G$1,0))</f>
        <v>D</v>
      </c>
      <c r="K324" s="11">
        <f>INDEX(products!$A$2:$G$49,MATCH(orders!$D324,products!$A$2:$A$49,0),MATCH(orders!K$1,products!$A$1:$G$1,0))</f>
        <v>0.5</v>
      </c>
      <c r="L324" s="12">
        <f>INDEX(products!$A$2:$G$49,MATCH(orders!$D324,products!$A$2:$A$49,0),MATCH(orders!L$1,products!$A$1:$G$1,0))</f>
        <v>7.77</v>
      </c>
      <c r="M324" s="12">
        <f t="shared" si="15"/>
        <v>23.31</v>
      </c>
      <c r="N324" s="10" t="str">
        <f t="shared" si="16"/>
        <v>Liberica</v>
      </c>
      <c r="O324" s="10" t="str">
        <f t="shared" si="17"/>
        <v>Dark</v>
      </c>
      <c r="P324" s="10" t="str">
        <f>_xlfn.XLOOKUP(Tableau1[[#This Row],[Customer ID]],customers!A$2:A$1001,customers!I$2:I$1001)</f>
        <v>No</v>
      </c>
    </row>
    <row r="325" spans="1:16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9" t="str">
        <f>_xlfn.XLOOKUP(orders!C325,customers!$A$2:$A$1001,customers!$B$2:$B$1001)</f>
        <v>Donica Bonhome</v>
      </c>
      <c r="G325" s="9" t="str">
        <f>IF(_xlfn.XLOOKUP(orders!C325,customers!$A$2:$A$1001,customers!$C$2:$C$1001,,,)=0,"",_xlfn.XLOOKUP(orders!C325,customers!$A$2:$A$1001,customers!$C$2:$C$1001,,,))</f>
        <v>dbonhome8z@shinystat.com</v>
      </c>
      <c r="H325" s="9" t="str">
        <f>_xlfn.XLOOKUP(C325,customers!$A$2:$A$1001,customers!$G$2:$G$1001,"")</f>
        <v>United States</v>
      </c>
      <c r="I325" s="10" t="str">
        <f>INDEX(products!$A$2:$G$49,MATCH(orders!$D325,products!$A$2:$A$49,0),MATCH(orders!I$1,products!$A$1:$G$1,0))</f>
        <v>Exc</v>
      </c>
      <c r="J325" s="10" t="str">
        <f>INDEX(products!$A$2:$G$49,MATCH(orders!$D325,products!$A$2:$A$49,0),MATCH(orders!J$1,products!$A$1:$G$1,0))</f>
        <v>D</v>
      </c>
      <c r="K325" s="11">
        <f>INDEX(products!$A$2:$G$49,MATCH(orders!$D325,products!$A$2:$A$49,0),MATCH(orders!K$1,products!$A$1:$G$1,0))</f>
        <v>0.2</v>
      </c>
      <c r="L325" s="12">
        <f>INDEX(products!$A$2:$G$49,MATCH(orders!$D325,products!$A$2:$A$49,0),MATCH(orders!L$1,products!$A$1:$G$1,0))</f>
        <v>3.645</v>
      </c>
      <c r="M325" s="12">
        <f t="shared" si="15"/>
        <v>18.225000000000001</v>
      </c>
      <c r="N325" s="10" t="str">
        <f t="shared" si="16"/>
        <v>Excelsa</v>
      </c>
      <c r="O325" s="10" t="str">
        <f t="shared" si="17"/>
        <v>Dark</v>
      </c>
      <c r="P325" s="10" t="str">
        <f>_xlfn.XLOOKUP(Tableau1[[#This Row],[Customer ID]],customers!A$2:A$1001,customers!I$2:I$1001)</f>
        <v>Yes</v>
      </c>
    </row>
    <row r="326" spans="1:16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9" t="str">
        <f>_xlfn.XLOOKUP(orders!C326,customers!$A$2:$A$1001,customers!$B$2:$B$1001)</f>
        <v>Diena Peetermann</v>
      </c>
      <c r="G326" s="9" t="str">
        <f>IF(_xlfn.XLOOKUP(orders!C326,customers!$A$2:$A$1001,customers!$C$2:$C$1001,,,)=0,"",_xlfn.XLOOKUP(orders!C326,customers!$A$2:$A$1001,customers!$C$2:$C$1001,,,))</f>
        <v/>
      </c>
      <c r="H326" s="9" t="str">
        <f>_xlfn.XLOOKUP(C326,customers!$A$2:$A$1001,customers!$G$2:$G$1001,"")</f>
        <v>United States</v>
      </c>
      <c r="I326" s="10" t="str">
        <f>INDEX(products!$A$2:$G$49,MATCH(orders!$D326,products!$A$2:$A$49,0),MATCH(orders!I$1,products!$A$1:$G$1,0))</f>
        <v>Exc</v>
      </c>
      <c r="J326" s="10" t="str">
        <f>INDEX(products!$A$2:$G$49,MATCH(orders!$D326,products!$A$2:$A$49,0),MATCH(orders!J$1,products!$A$1:$G$1,0))</f>
        <v>M</v>
      </c>
      <c r="K326" s="11">
        <f>INDEX(products!$A$2:$G$49,MATCH(orders!$D326,products!$A$2:$A$49,0),MATCH(orders!K$1,products!$A$1:$G$1,0))</f>
        <v>1</v>
      </c>
      <c r="L326" s="12">
        <f>INDEX(products!$A$2:$G$49,MATCH(orders!$D326,products!$A$2:$A$49,0),MATCH(orders!L$1,products!$A$1:$G$1,0))</f>
        <v>13.75</v>
      </c>
      <c r="M326" s="12">
        <f t="shared" si="15"/>
        <v>13.75</v>
      </c>
      <c r="N326" s="10" t="str">
        <f t="shared" si="16"/>
        <v>Excelsa</v>
      </c>
      <c r="O326" s="10" t="str">
        <f t="shared" si="17"/>
        <v>Medium</v>
      </c>
      <c r="P326" s="10" t="str">
        <f>_xlfn.XLOOKUP(Tableau1[[#This Row],[Customer ID]],customers!A$2:A$1001,customers!I$2:I$1001)</f>
        <v>No</v>
      </c>
    </row>
    <row r="327" spans="1:16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9" t="str">
        <f>_xlfn.XLOOKUP(orders!C327,customers!$A$2:$A$1001,customers!$B$2:$B$1001)</f>
        <v>Trina Le Sarr</v>
      </c>
      <c r="G327" s="9" t="str">
        <f>IF(_xlfn.XLOOKUP(orders!C327,customers!$A$2:$A$1001,customers!$C$2:$C$1001,,,)=0,"",_xlfn.XLOOKUP(orders!C327,customers!$A$2:$A$1001,customers!$C$2:$C$1001,,,))</f>
        <v>tle91@epa.gov</v>
      </c>
      <c r="H327" s="9" t="str">
        <f>_xlfn.XLOOKUP(C327,customers!$A$2:$A$1001,customers!$G$2:$G$1001,"")</f>
        <v>United States</v>
      </c>
      <c r="I327" s="10" t="str">
        <f>INDEX(products!$A$2:$G$49,MATCH(orders!$D327,products!$A$2:$A$49,0),MATCH(orders!I$1,products!$A$1:$G$1,0))</f>
        <v>Ara</v>
      </c>
      <c r="J327" s="10" t="str">
        <f>INDEX(products!$A$2:$G$49,MATCH(orders!$D327,products!$A$2:$A$49,0),MATCH(orders!J$1,products!$A$1:$G$1,0))</f>
        <v>L</v>
      </c>
      <c r="K327" s="11">
        <f>INDEX(products!$A$2:$G$49,MATCH(orders!$D327,products!$A$2:$A$49,0),MATCH(orders!K$1,products!$A$1:$G$1,0))</f>
        <v>2.5</v>
      </c>
      <c r="L327" s="12">
        <f>INDEX(products!$A$2:$G$49,MATCH(orders!$D327,products!$A$2:$A$49,0),MATCH(orders!L$1,products!$A$1:$G$1,0))</f>
        <v>29.784999999999997</v>
      </c>
      <c r="M327" s="12">
        <f t="shared" si="15"/>
        <v>29.784999999999997</v>
      </c>
      <c r="N327" s="10" t="str">
        <f t="shared" si="16"/>
        <v>Arabica</v>
      </c>
      <c r="O327" s="10" t="str">
        <f t="shared" si="17"/>
        <v>Light</v>
      </c>
      <c r="P327" s="10" t="str">
        <f>_xlfn.XLOOKUP(Tableau1[[#This Row],[Customer ID]],customers!A$2:A$1001,customers!I$2:I$1001)</f>
        <v>Yes</v>
      </c>
    </row>
    <row r="328" spans="1:16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9" t="str">
        <f>_xlfn.XLOOKUP(orders!C328,customers!$A$2:$A$1001,customers!$B$2:$B$1001)</f>
        <v>Flynn Antony</v>
      </c>
      <c r="G328" s="9" t="str">
        <f>IF(_xlfn.XLOOKUP(orders!C328,customers!$A$2:$A$1001,customers!$C$2:$C$1001,,,)=0,"",_xlfn.XLOOKUP(orders!C328,customers!$A$2:$A$1001,customers!$C$2:$C$1001,,,))</f>
        <v/>
      </c>
      <c r="H328" s="9" t="str">
        <f>_xlfn.XLOOKUP(C328,customers!$A$2:$A$1001,customers!$G$2:$G$1001,"")</f>
        <v>United States</v>
      </c>
      <c r="I328" s="10" t="str">
        <f>INDEX(products!$A$2:$G$49,MATCH(orders!$D328,products!$A$2:$A$49,0),MATCH(orders!I$1,products!$A$1:$G$1,0))</f>
        <v>Rob</v>
      </c>
      <c r="J328" s="10" t="str">
        <f>INDEX(products!$A$2:$G$49,MATCH(orders!$D328,products!$A$2:$A$49,0),MATCH(orders!J$1,products!$A$1:$G$1,0))</f>
        <v>D</v>
      </c>
      <c r="K328" s="11">
        <f>INDEX(products!$A$2:$G$49,MATCH(orders!$D328,products!$A$2:$A$49,0),MATCH(orders!K$1,products!$A$1:$G$1,0))</f>
        <v>1</v>
      </c>
      <c r="L328" s="12">
        <f>INDEX(products!$A$2:$G$49,MATCH(orders!$D328,products!$A$2:$A$49,0),MATCH(orders!L$1,products!$A$1:$G$1,0))</f>
        <v>8.9499999999999993</v>
      </c>
      <c r="M328" s="12">
        <f t="shared" si="15"/>
        <v>44.75</v>
      </c>
      <c r="N328" s="10" t="str">
        <f t="shared" si="16"/>
        <v>Robusta</v>
      </c>
      <c r="O328" s="10" t="str">
        <f t="shared" si="17"/>
        <v>Dark</v>
      </c>
      <c r="P328" s="10" t="str">
        <f>_xlfn.XLOOKUP(Tableau1[[#This Row],[Customer ID]],customers!A$2:A$1001,customers!I$2:I$1001)</f>
        <v>No</v>
      </c>
    </row>
    <row r="329" spans="1:16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9" t="str">
        <f>_xlfn.XLOOKUP(orders!C329,customers!$A$2:$A$1001,customers!$B$2:$B$1001)</f>
        <v>Baudoin Alldridge</v>
      </c>
      <c r="G329" s="9" t="str">
        <f>IF(_xlfn.XLOOKUP(orders!C329,customers!$A$2:$A$1001,customers!$C$2:$C$1001,,,)=0,"",_xlfn.XLOOKUP(orders!C329,customers!$A$2:$A$1001,customers!$C$2:$C$1001,,,))</f>
        <v>balldridge93@yandex.ru</v>
      </c>
      <c r="H329" s="9" t="str">
        <f>_xlfn.XLOOKUP(C329,customers!$A$2:$A$1001,customers!$G$2:$G$1001,"")</f>
        <v>United States</v>
      </c>
      <c r="I329" s="10" t="str">
        <f>INDEX(products!$A$2:$G$49,MATCH(orders!$D329,products!$A$2:$A$49,0),MATCH(orders!I$1,products!$A$1:$G$1,0))</f>
        <v>Rob</v>
      </c>
      <c r="J329" s="10" t="str">
        <f>INDEX(products!$A$2:$G$49,MATCH(orders!$D329,products!$A$2:$A$49,0),MATCH(orders!J$1,products!$A$1:$G$1,0))</f>
        <v>D</v>
      </c>
      <c r="K329" s="11">
        <f>INDEX(products!$A$2:$G$49,MATCH(orders!$D329,products!$A$2:$A$49,0),MATCH(orders!K$1,products!$A$1:$G$1,0))</f>
        <v>1</v>
      </c>
      <c r="L329" s="12">
        <f>INDEX(products!$A$2:$G$49,MATCH(orders!$D329,products!$A$2:$A$49,0),MATCH(orders!L$1,products!$A$1:$G$1,0))</f>
        <v>8.9499999999999993</v>
      </c>
      <c r="M329" s="12">
        <f t="shared" si="15"/>
        <v>44.75</v>
      </c>
      <c r="N329" s="10" t="str">
        <f t="shared" si="16"/>
        <v>Robusta</v>
      </c>
      <c r="O329" s="10" t="str">
        <f t="shared" si="17"/>
        <v>Dark</v>
      </c>
      <c r="P329" s="10" t="str">
        <f>_xlfn.XLOOKUP(Tableau1[[#This Row],[Customer ID]],customers!A$2:A$1001,customers!I$2:I$1001)</f>
        <v>Yes</v>
      </c>
    </row>
    <row r="330" spans="1:16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9" t="str">
        <f>_xlfn.XLOOKUP(orders!C330,customers!$A$2:$A$1001,customers!$B$2:$B$1001)</f>
        <v>Homer Dulany</v>
      </c>
      <c r="G330" s="9" t="str">
        <f>IF(_xlfn.XLOOKUP(orders!C330,customers!$A$2:$A$1001,customers!$C$2:$C$1001,,,)=0,"",_xlfn.XLOOKUP(orders!C330,customers!$A$2:$A$1001,customers!$C$2:$C$1001,,,))</f>
        <v/>
      </c>
      <c r="H330" s="9" t="str">
        <f>_xlfn.XLOOKUP(C330,customers!$A$2:$A$1001,customers!$G$2:$G$1001,"")</f>
        <v>United States</v>
      </c>
      <c r="I330" s="10" t="str">
        <f>INDEX(products!$A$2:$G$49,MATCH(orders!$D330,products!$A$2:$A$49,0),MATCH(orders!I$1,products!$A$1:$G$1,0))</f>
        <v>Lib</v>
      </c>
      <c r="J330" s="10" t="str">
        <f>INDEX(products!$A$2:$G$49,MATCH(orders!$D330,products!$A$2:$A$49,0),MATCH(orders!J$1,products!$A$1:$G$1,0))</f>
        <v>L</v>
      </c>
      <c r="K330" s="11">
        <f>INDEX(products!$A$2:$G$49,MATCH(orders!$D330,products!$A$2:$A$49,0),MATCH(orders!K$1,products!$A$1:$G$1,0))</f>
        <v>0.5</v>
      </c>
      <c r="L330" s="12">
        <f>INDEX(products!$A$2:$G$49,MATCH(orders!$D330,products!$A$2:$A$49,0),MATCH(orders!L$1,products!$A$1:$G$1,0))</f>
        <v>9.51</v>
      </c>
      <c r="M330" s="12">
        <f t="shared" si="15"/>
        <v>38.04</v>
      </c>
      <c r="N330" s="10" t="str">
        <f t="shared" si="16"/>
        <v>Liberica</v>
      </c>
      <c r="O330" s="10" t="str">
        <f t="shared" si="17"/>
        <v>Light</v>
      </c>
      <c r="P330" s="10" t="str">
        <f>_xlfn.XLOOKUP(Tableau1[[#This Row],[Customer ID]],customers!A$2:A$1001,customers!I$2:I$1001)</f>
        <v>Yes</v>
      </c>
    </row>
    <row r="331" spans="1:16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9" t="str">
        <f>_xlfn.XLOOKUP(orders!C331,customers!$A$2:$A$1001,customers!$B$2:$B$1001)</f>
        <v>Lisa Goodger</v>
      </c>
      <c r="G331" s="9" t="str">
        <f>IF(_xlfn.XLOOKUP(orders!C331,customers!$A$2:$A$1001,customers!$C$2:$C$1001,,,)=0,"",_xlfn.XLOOKUP(orders!C331,customers!$A$2:$A$1001,customers!$C$2:$C$1001,,,))</f>
        <v>lgoodger95@guardian.co.uk</v>
      </c>
      <c r="H331" s="9" t="str">
        <f>_xlfn.XLOOKUP(C331,customers!$A$2:$A$1001,customers!$G$2:$G$1001,"")</f>
        <v>United States</v>
      </c>
      <c r="I331" s="10" t="str">
        <f>INDEX(products!$A$2:$G$49,MATCH(orders!$D331,products!$A$2:$A$49,0),MATCH(orders!I$1,products!$A$1:$G$1,0))</f>
        <v>Rob</v>
      </c>
      <c r="J331" s="10" t="str">
        <f>INDEX(products!$A$2:$G$49,MATCH(orders!$D331,products!$A$2:$A$49,0),MATCH(orders!J$1,products!$A$1:$G$1,0))</f>
        <v>D</v>
      </c>
      <c r="K331" s="11">
        <f>INDEX(products!$A$2:$G$49,MATCH(orders!$D331,products!$A$2:$A$49,0),MATCH(orders!K$1,products!$A$1:$G$1,0))</f>
        <v>0.5</v>
      </c>
      <c r="L331" s="12">
        <f>INDEX(products!$A$2:$G$49,MATCH(orders!$D331,products!$A$2:$A$49,0),MATCH(orders!L$1,products!$A$1:$G$1,0))</f>
        <v>5.3699999999999992</v>
      </c>
      <c r="M331" s="12">
        <f t="shared" si="15"/>
        <v>21.479999999999997</v>
      </c>
      <c r="N331" s="10" t="str">
        <f t="shared" si="16"/>
        <v>Robusta</v>
      </c>
      <c r="O331" s="10" t="str">
        <f t="shared" si="17"/>
        <v>Dark</v>
      </c>
      <c r="P331" s="10" t="str">
        <f>_xlfn.XLOOKUP(Tableau1[[#This Row],[Customer ID]],customers!A$2:A$1001,customers!I$2:I$1001)</f>
        <v>Yes</v>
      </c>
    </row>
    <row r="332" spans="1:16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9" t="str">
        <f>_xlfn.XLOOKUP(orders!C332,customers!$A$2:$A$1001,customers!$B$2:$B$1001)</f>
        <v>Selma McMillian</v>
      </c>
      <c r="G332" s="9" t="str">
        <f>IF(_xlfn.XLOOKUP(orders!C332,customers!$A$2:$A$1001,customers!$C$2:$C$1001,,,)=0,"",_xlfn.XLOOKUP(orders!C332,customers!$A$2:$A$1001,customers!$C$2:$C$1001,,,))</f>
        <v>smcmillian8t@csmonitor.com</v>
      </c>
      <c r="H332" s="9" t="str">
        <f>_xlfn.XLOOKUP(C332,customers!$A$2:$A$1001,customers!$G$2:$G$1001,"")</f>
        <v>United States</v>
      </c>
      <c r="I332" s="10" t="str">
        <f>INDEX(products!$A$2:$G$49,MATCH(orders!$D332,products!$A$2:$A$49,0),MATCH(orders!I$1,products!$A$1:$G$1,0))</f>
        <v>Rob</v>
      </c>
      <c r="J332" s="10" t="str">
        <f>INDEX(products!$A$2:$G$49,MATCH(orders!$D332,products!$A$2:$A$49,0),MATCH(orders!J$1,products!$A$1:$G$1,0))</f>
        <v>D</v>
      </c>
      <c r="K332" s="11">
        <f>INDEX(products!$A$2:$G$49,MATCH(orders!$D332,products!$A$2:$A$49,0),MATCH(orders!K$1,products!$A$1:$G$1,0))</f>
        <v>0.5</v>
      </c>
      <c r="L332" s="12">
        <f>INDEX(products!$A$2:$G$49,MATCH(orders!$D332,products!$A$2:$A$49,0),MATCH(orders!L$1,products!$A$1:$G$1,0))</f>
        <v>5.3699999999999992</v>
      </c>
      <c r="M332" s="12">
        <f t="shared" si="15"/>
        <v>16.11</v>
      </c>
      <c r="N332" s="10" t="str">
        <f t="shared" si="16"/>
        <v>Robusta</v>
      </c>
      <c r="O332" s="10" t="str">
        <f t="shared" si="17"/>
        <v>Dark</v>
      </c>
      <c r="P332" s="10" t="str">
        <f>_xlfn.XLOOKUP(Tableau1[[#This Row],[Customer ID]],customers!A$2:A$1001,customers!I$2:I$1001)</f>
        <v>No</v>
      </c>
    </row>
    <row r="333" spans="1:16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9" t="str">
        <f>_xlfn.XLOOKUP(orders!C333,customers!$A$2:$A$1001,customers!$B$2:$B$1001)</f>
        <v>Corine Drewett</v>
      </c>
      <c r="G333" s="9" t="str">
        <f>IF(_xlfn.XLOOKUP(orders!C333,customers!$A$2:$A$1001,customers!$C$2:$C$1001,,,)=0,"",_xlfn.XLOOKUP(orders!C333,customers!$A$2:$A$1001,customers!$C$2:$C$1001,,,))</f>
        <v>cdrewett97@wikipedia.org</v>
      </c>
      <c r="H333" s="9" t="str">
        <f>_xlfn.XLOOKUP(C333,customers!$A$2:$A$1001,customers!$G$2:$G$1001,"")</f>
        <v>United States</v>
      </c>
      <c r="I333" s="10" t="str">
        <f>INDEX(products!$A$2:$G$49,MATCH(orders!$D333,products!$A$2:$A$49,0),MATCH(orders!I$1,products!$A$1:$G$1,0))</f>
        <v>Rob</v>
      </c>
      <c r="J333" s="10" t="str">
        <f>INDEX(products!$A$2:$G$49,MATCH(orders!$D333,products!$A$2:$A$49,0),MATCH(orders!J$1,products!$A$1:$G$1,0))</f>
        <v>M</v>
      </c>
      <c r="K333" s="11">
        <f>INDEX(products!$A$2:$G$49,MATCH(orders!$D333,products!$A$2:$A$49,0),MATCH(orders!K$1,products!$A$1:$G$1,0))</f>
        <v>2.5</v>
      </c>
      <c r="L333" s="12">
        <f>INDEX(products!$A$2:$G$49,MATCH(orders!$D333,products!$A$2:$A$49,0),MATCH(orders!L$1,products!$A$1:$G$1,0))</f>
        <v>22.884999999999998</v>
      </c>
      <c r="M333" s="12">
        <f t="shared" si="15"/>
        <v>22.884999999999998</v>
      </c>
      <c r="N333" s="10" t="str">
        <f t="shared" si="16"/>
        <v>Robusta</v>
      </c>
      <c r="O333" s="10" t="str">
        <f t="shared" si="17"/>
        <v>Medium</v>
      </c>
      <c r="P333" s="10" t="str">
        <f>_xlfn.XLOOKUP(Tableau1[[#This Row],[Customer ID]],customers!A$2:A$1001,customers!I$2:I$1001)</f>
        <v>Yes</v>
      </c>
    </row>
    <row r="334" spans="1:16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9" t="str">
        <f>_xlfn.XLOOKUP(orders!C334,customers!$A$2:$A$1001,customers!$B$2:$B$1001)</f>
        <v>Quinn Parsons</v>
      </c>
      <c r="G334" s="9" t="str">
        <f>IF(_xlfn.XLOOKUP(orders!C334,customers!$A$2:$A$1001,customers!$C$2:$C$1001,,,)=0,"",_xlfn.XLOOKUP(orders!C334,customers!$A$2:$A$1001,customers!$C$2:$C$1001,,,))</f>
        <v>qparsons98@blogtalkradio.com</v>
      </c>
      <c r="H334" s="9" t="str">
        <f>_xlfn.XLOOKUP(C334,customers!$A$2:$A$1001,customers!$G$2:$G$1001,"")</f>
        <v>United States</v>
      </c>
      <c r="I334" s="10" t="str">
        <f>INDEX(products!$A$2:$G$49,MATCH(orders!$D334,products!$A$2:$A$49,0),MATCH(orders!I$1,products!$A$1:$G$1,0))</f>
        <v>Ara</v>
      </c>
      <c r="J334" s="10" t="str">
        <f>INDEX(products!$A$2:$G$49,MATCH(orders!$D334,products!$A$2:$A$49,0),MATCH(orders!J$1,products!$A$1:$G$1,0))</f>
        <v>D</v>
      </c>
      <c r="K334" s="11">
        <f>INDEX(products!$A$2:$G$49,MATCH(orders!$D334,products!$A$2:$A$49,0),MATCH(orders!K$1,products!$A$1:$G$1,0))</f>
        <v>0.5</v>
      </c>
      <c r="L334" s="12">
        <f>INDEX(products!$A$2:$G$49,MATCH(orders!$D334,products!$A$2:$A$49,0),MATCH(orders!L$1,products!$A$1:$G$1,0))</f>
        <v>5.97</v>
      </c>
      <c r="M334" s="12">
        <f t="shared" si="15"/>
        <v>17.91</v>
      </c>
      <c r="N334" s="10" t="str">
        <f t="shared" si="16"/>
        <v>Arabica</v>
      </c>
      <c r="O334" s="10" t="str">
        <f t="shared" si="17"/>
        <v>Dark</v>
      </c>
      <c r="P334" s="10" t="str">
        <f>_xlfn.XLOOKUP(Tableau1[[#This Row],[Customer ID]],customers!A$2:A$1001,customers!I$2:I$1001)</f>
        <v>Yes</v>
      </c>
    </row>
    <row r="335" spans="1:16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9" t="str">
        <f>_xlfn.XLOOKUP(orders!C335,customers!$A$2:$A$1001,customers!$B$2:$B$1001)</f>
        <v>Vivyan Ceely</v>
      </c>
      <c r="G335" s="9" t="str">
        <f>IF(_xlfn.XLOOKUP(orders!C335,customers!$A$2:$A$1001,customers!$C$2:$C$1001,,,)=0,"",_xlfn.XLOOKUP(orders!C335,customers!$A$2:$A$1001,customers!$C$2:$C$1001,,,))</f>
        <v>vceely99@auda.org.au</v>
      </c>
      <c r="H335" s="9" t="str">
        <f>_xlfn.XLOOKUP(C335,customers!$A$2:$A$1001,customers!$G$2:$G$1001,"")</f>
        <v>United States</v>
      </c>
      <c r="I335" s="10" t="str">
        <f>INDEX(products!$A$2:$G$49,MATCH(orders!$D335,products!$A$2:$A$49,0),MATCH(orders!I$1,products!$A$1:$G$1,0))</f>
        <v>Rob</v>
      </c>
      <c r="J335" s="10" t="str">
        <f>INDEX(products!$A$2:$G$49,MATCH(orders!$D335,products!$A$2:$A$49,0),MATCH(orders!J$1,products!$A$1:$G$1,0))</f>
        <v>M</v>
      </c>
      <c r="K335" s="11">
        <f>INDEX(products!$A$2:$G$49,MATCH(orders!$D335,products!$A$2:$A$49,0),MATCH(orders!K$1,products!$A$1:$G$1,0))</f>
        <v>0.5</v>
      </c>
      <c r="L335" s="12">
        <f>INDEX(products!$A$2:$G$49,MATCH(orders!$D335,products!$A$2:$A$49,0),MATCH(orders!L$1,products!$A$1:$G$1,0))</f>
        <v>5.97</v>
      </c>
      <c r="M335" s="12">
        <f t="shared" si="15"/>
        <v>23.88</v>
      </c>
      <c r="N335" s="10" t="str">
        <f t="shared" si="16"/>
        <v>Robusta</v>
      </c>
      <c r="O335" s="10" t="str">
        <f t="shared" si="17"/>
        <v>Medium</v>
      </c>
      <c r="P335" s="10" t="str">
        <f>_xlfn.XLOOKUP(Tableau1[[#This Row],[Customer ID]],customers!A$2:A$1001,customers!I$2:I$1001)</f>
        <v>Yes</v>
      </c>
    </row>
    <row r="336" spans="1:16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9" t="str">
        <f>_xlfn.XLOOKUP(orders!C336,customers!$A$2:$A$1001,customers!$B$2:$B$1001)</f>
        <v>Elonore Goodings</v>
      </c>
      <c r="G336" s="9" t="str">
        <f>IF(_xlfn.XLOOKUP(orders!C336,customers!$A$2:$A$1001,customers!$C$2:$C$1001,,,)=0,"",_xlfn.XLOOKUP(orders!C336,customers!$A$2:$A$1001,customers!$C$2:$C$1001,,,))</f>
        <v/>
      </c>
      <c r="H336" s="9" t="str">
        <f>_xlfn.XLOOKUP(C336,customers!$A$2:$A$1001,customers!$G$2:$G$1001,"")</f>
        <v>United States</v>
      </c>
      <c r="I336" s="10" t="str">
        <f>INDEX(products!$A$2:$G$49,MATCH(orders!$D336,products!$A$2:$A$49,0),MATCH(orders!I$1,products!$A$1:$G$1,0))</f>
        <v>Rob</v>
      </c>
      <c r="J336" s="10" t="str">
        <f>INDEX(products!$A$2:$G$49,MATCH(orders!$D336,products!$A$2:$A$49,0),MATCH(orders!J$1,products!$A$1:$G$1,0))</f>
        <v>L</v>
      </c>
      <c r="K336" s="11">
        <f>INDEX(products!$A$2:$G$49,MATCH(orders!$D336,products!$A$2:$A$49,0),MATCH(orders!K$1,products!$A$1:$G$1,0))</f>
        <v>1</v>
      </c>
      <c r="L336" s="12">
        <f>INDEX(products!$A$2:$G$49,MATCH(orders!$D336,products!$A$2:$A$49,0),MATCH(orders!L$1,products!$A$1:$G$1,0))</f>
        <v>11.95</v>
      </c>
      <c r="M336" s="12">
        <f t="shared" si="15"/>
        <v>59.75</v>
      </c>
      <c r="N336" s="10" t="str">
        <f t="shared" si="16"/>
        <v>Robusta</v>
      </c>
      <c r="O336" s="10" t="str">
        <f t="shared" si="17"/>
        <v>Light</v>
      </c>
      <c r="P336" s="10" t="str">
        <f>_xlfn.XLOOKUP(Tableau1[[#This Row],[Customer ID]],customers!A$2:A$1001,customers!I$2:I$1001)</f>
        <v>No</v>
      </c>
    </row>
    <row r="337" spans="1:16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9" t="str">
        <f>_xlfn.XLOOKUP(orders!C337,customers!$A$2:$A$1001,customers!$B$2:$B$1001)</f>
        <v>Clement Vasiliev</v>
      </c>
      <c r="G337" s="9" t="str">
        <f>IF(_xlfn.XLOOKUP(orders!C337,customers!$A$2:$A$1001,customers!$C$2:$C$1001,,,)=0,"",_xlfn.XLOOKUP(orders!C337,customers!$A$2:$A$1001,customers!$C$2:$C$1001,,,))</f>
        <v>cvasiliev9b@discuz.net</v>
      </c>
      <c r="H337" s="9" t="str">
        <f>_xlfn.XLOOKUP(C337,customers!$A$2:$A$1001,customers!$G$2:$G$1001,"")</f>
        <v>United States</v>
      </c>
      <c r="I337" s="10" t="str">
        <f>INDEX(products!$A$2:$G$49,MATCH(orders!$D337,products!$A$2:$A$49,0),MATCH(orders!I$1,products!$A$1:$G$1,0))</f>
        <v>Lib</v>
      </c>
      <c r="J337" s="10" t="str">
        <f>INDEX(products!$A$2:$G$49,MATCH(orders!$D337,products!$A$2:$A$49,0),MATCH(orders!J$1,products!$A$1:$G$1,0))</f>
        <v>L</v>
      </c>
      <c r="K337" s="11">
        <f>INDEX(products!$A$2:$G$49,MATCH(orders!$D337,products!$A$2:$A$49,0),MATCH(orders!K$1,products!$A$1:$G$1,0))</f>
        <v>0.2</v>
      </c>
      <c r="L337" s="12">
        <f>INDEX(products!$A$2:$G$49,MATCH(orders!$D337,products!$A$2:$A$49,0),MATCH(orders!L$1,products!$A$1:$G$1,0))</f>
        <v>4.7549999999999999</v>
      </c>
      <c r="M337" s="12">
        <f t="shared" si="15"/>
        <v>28.53</v>
      </c>
      <c r="N337" s="10" t="str">
        <f t="shared" si="16"/>
        <v>Liberica</v>
      </c>
      <c r="O337" s="10" t="str">
        <f t="shared" si="17"/>
        <v>Light</v>
      </c>
      <c r="P337" s="10" t="str">
        <f>_xlfn.XLOOKUP(Tableau1[[#This Row],[Customer ID]],customers!A$2:A$1001,customers!I$2:I$1001)</f>
        <v>Yes</v>
      </c>
    </row>
    <row r="338" spans="1:16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9" t="str">
        <f>_xlfn.XLOOKUP(orders!C338,customers!$A$2:$A$1001,customers!$B$2:$B$1001)</f>
        <v>Terencio O'Moylan</v>
      </c>
      <c r="G338" s="9" t="str">
        <f>IF(_xlfn.XLOOKUP(orders!C338,customers!$A$2:$A$1001,customers!$C$2:$C$1001,,,)=0,"",_xlfn.XLOOKUP(orders!C338,customers!$A$2:$A$1001,customers!$C$2:$C$1001,,,))</f>
        <v>tomoylan9c@liveinternet.ru</v>
      </c>
      <c r="H338" s="9" t="str">
        <f>_xlfn.XLOOKUP(C338,customers!$A$2:$A$1001,customers!$G$2:$G$1001,"")</f>
        <v>United Kingdom</v>
      </c>
      <c r="I338" s="10" t="str">
        <f>INDEX(products!$A$2:$G$49,MATCH(orders!$D338,products!$A$2:$A$49,0),MATCH(orders!I$1,products!$A$1:$G$1,0))</f>
        <v>Ara</v>
      </c>
      <c r="J338" s="10" t="str">
        <f>INDEX(products!$A$2:$G$49,MATCH(orders!$D338,products!$A$2:$A$49,0),MATCH(orders!J$1,products!$A$1:$G$1,0))</f>
        <v>M</v>
      </c>
      <c r="K338" s="11">
        <f>INDEX(products!$A$2:$G$49,MATCH(orders!$D338,products!$A$2:$A$49,0),MATCH(orders!K$1,products!$A$1:$G$1,0))</f>
        <v>1</v>
      </c>
      <c r="L338" s="12">
        <f>INDEX(products!$A$2:$G$49,MATCH(orders!$D338,products!$A$2:$A$49,0),MATCH(orders!L$1,products!$A$1:$G$1,0))</f>
        <v>11.25</v>
      </c>
      <c r="M338" s="12">
        <f t="shared" si="15"/>
        <v>45</v>
      </c>
      <c r="N338" s="10" t="str">
        <f t="shared" si="16"/>
        <v>Arabica</v>
      </c>
      <c r="O338" s="10" t="str">
        <f t="shared" si="17"/>
        <v>Medium</v>
      </c>
      <c r="P338" s="10" t="str">
        <f>_xlfn.XLOOKUP(Tableau1[[#This Row],[Customer ID]],customers!A$2:A$1001,customers!I$2:I$1001)</f>
        <v>No</v>
      </c>
    </row>
    <row r="339" spans="1:16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9" t="str">
        <f>_xlfn.XLOOKUP(orders!C339,customers!$A$2:$A$1001,customers!$B$2:$B$1001)</f>
        <v>Flynn Antony</v>
      </c>
      <c r="G339" s="9" t="str">
        <f>IF(_xlfn.XLOOKUP(orders!C339,customers!$A$2:$A$1001,customers!$C$2:$C$1001,,,)=0,"",_xlfn.XLOOKUP(orders!C339,customers!$A$2:$A$1001,customers!$C$2:$C$1001,,,))</f>
        <v/>
      </c>
      <c r="H339" s="9" t="str">
        <f>_xlfn.XLOOKUP(C339,customers!$A$2:$A$1001,customers!$G$2:$G$1001,"")</f>
        <v>United States</v>
      </c>
      <c r="I339" s="10" t="str">
        <f>INDEX(products!$A$2:$G$49,MATCH(orders!$D339,products!$A$2:$A$49,0),MATCH(orders!I$1,products!$A$1:$G$1,0))</f>
        <v>Exc</v>
      </c>
      <c r="J339" s="10" t="str">
        <f>INDEX(products!$A$2:$G$49,MATCH(orders!$D339,products!$A$2:$A$49,0),MATCH(orders!J$1,products!$A$1:$G$1,0))</f>
        <v>D</v>
      </c>
      <c r="K339" s="11">
        <f>INDEX(products!$A$2:$G$49,MATCH(orders!$D339,products!$A$2:$A$49,0),MATCH(orders!K$1,products!$A$1:$G$1,0))</f>
        <v>2.5</v>
      </c>
      <c r="L339" s="12">
        <f>INDEX(products!$A$2:$G$49,MATCH(orders!$D339,products!$A$2:$A$49,0),MATCH(orders!L$1,products!$A$1:$G$1,0))</f>
        <v>27.945</v>
      </c>
      <c r="M339" s="12">
        <f t="shared" si="15"/>
        <v>55.89</v>
      </c>
      <c r="N339" s="10" t="str">
        <f t="shared" si="16"/>
        <v>Excelsa</v>
      </c>
      <c r="O339" s="10" t="str">
        <f t="shared" si="17"/>
        <v>Dark</v>
      </c>
      <c r="P339" s="10" t="str">
        <f>_xlfn.XLOOKUP(Tableau1[[#This Row],[Customer ID]],customers!A$2:A$1001,customers!I$2:I$1001)</f>
        <v>No</v>
      </c>
    </row>
    <row r="340" spans="1:16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9" t="str">
        <f>_xlfn.XLOOKUP(orders!C340,customers!$A$2:$A$1001,customers!$B$2:$B$1001)</f>
        <v>Wyatan Fetherston</v>
      </c>
      <c r="G340" s="9" t="str">
        <f>IF(_xlfn.XLOOKUP(orders!C340,customers!$A$2:$A$1001,customers!$C$2:$C$1001,,,)=0,"",_xlfn.XLOOKUP(orders!C340,customers!$A$2:$A$1001,customers!$C$2:$C$1001,,,))</f>
        <v>wfetherston9e@constantcontact.com</v>
      </c>
      <c r="H340" s="9" t="str">
        <f>_xlfn.XLOOKUP(C340,customers!$A$2:$A$1001,customers!$G$2:$G$1001,"")</f>
        <v>United States</v>
      </c>
      <c r="I340" s="10" t="str">
        <f>INDEX(products!$A$2:$G$49,MATCH(orders!$D340,products!$A$2:$A$49,0),MATCH(orders!I$1,products!$A$1:$G$1,0))</f>
        <v>Exc</v>
      </c>
      <c r="J340" s="10" t="str">
        <f>INDEX(products!$A$2:$G$49,MATCH(orders!$D340,products!$A$2:$A$49,0),MATCH(orders!J$1,products!$A$1:$G$1,0))</f>
        <v>L</v>
      </c>
      <c r="K340" s="11">
        <f>INDEX(products!$A$2:$G$49,MATCH(orders!$D340,products!$A$2:$A$49,0),MATCH(orders!K$1,products!$A$1:$G$1,0))</f>
        <v>1</v>
      </c>
      <c r="L340" s="12">
        <f>INDEX(products!$A$2:$G$49,MATCH(orders!$D340,products!$A$2:$A$49,0),MATCH(orders!L$1,products!$A$1:$G$1,0))</f>
        <v>14.85</v>
      </c>
      <c r="M340" s="12">
        <f t="shared" si="15"/>
        <v>59.4</v>
      </c>
      <c r="N340" s="10" t="str">
        <f t="shared" si="16"/>
        <v>Excelsa</v>
      </c>
      <c r="O340" s="10" t="str">
        <f t="shared" si="17"/>
        <v>Light</v>
      </c>
      <c r="P340" s="10" t="str">
        <f>_xlfn.XLOOKUP(Tableau1[[#This Row],[Customer ID]],customers!A$2:A$1001,customers!I$2:I$1001)</f>
        <v>No</v>
      </c>
    </row>
    <row r="341" spans="1:16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9" t="str">
        <f>_xlfn.XLOOKUP(orders!C341,customers!$A$2:$A$1001,customers!$B$2:$B$1001)</f>
        <v>Emmaline Rasmus</v>
      </c>
      <c r="G341" s="9" t="str">
        <f>IF(_xlfn.XLOOKUP(orders!C341,customers!$A$2:$A$1001,customers!$C$2:$C$1001,,,)=0,"",_xlfn.XLOOKUP(orders!C341,customers!$A$2:$A$1001,customers!$C$2:$C$1001,,,))</f>
        <v>erasmus9f@techcrunch.com</v>
      </c>
      <c r="H341" s="9" t="str">
        <f>_xlfn.XLOOKUP(C341,customers!$A$2:$A$1001,customers!$G$2:$G$1001,"")</f>
        <v>United States</v>
      </c>
      <c r="I341" s="10" t="str">
        <f>INDEX(products!$A$2:$G$49,MATCH(orders!$D341,products!$A$2:$A$49,0),MATCH(orders!I$1,products!$A$1:$G$1,0))</f>
        <v>Exc</v>
      </c>
      <c r="J341" s="10" t="str">
        <f>INDEX(products!$A$2:$G$49,MATCH(orders!$D341,products!$A$2:$A$49,0),MATCH(orders!J$1,products!$A$1:$G$1,0))</f>
        <v>D</v>
      </c>
      <c r="K341" s="11">
        <f>INDEX(products!$A$2:$G$49,MATCH(orders!$D341,products!$A$2:$A$49,0),MATCH(orders!K$1,products!$A$1:$G$1,0))</f>
        <v>0.2</v>
      </c>
      <c r="L341" s="12">
        <f>INDEX(products!$A$2:$G$49,MATCH(orders!$D341,products!$A$2:$A$49,0),MATCH(orders!L$1,products!$A$1:$G$1,0))</f>
        <v>3.645</v>
      </c>
      <c r="M341" s="12">
        <f t="shared" si="15"/>
        <v>7.29</v>
      </c>
      <c r="N341" s="10" t="str">
        <f t="shared" si="16"/>
        <v>Excelsa</v>
      </c>
      <c r="O341" s="10" t="str">
        <f t="shared" si="17"/>
        <v>Dark</v>
      </c>
      <c r="P341" s="10" t="str">
        <f>_xlfn.XLOOKUP(Tableau1[[#This Row],[Customer ID]],customers!A$2:A$1001,customers!I$2:I$1001)</f>
        <v>Yes</v>
      </c>
    </row>
    <row r="342" spans="1:16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9" t="str">
        <f>_xlfn.XLOOKUP(orders!C342,customers!$A$2:$A$1001,customers!$B$2:$B$1001)</f>
        <v>Wesley Giorgioni</v>
      </c>
      <c r="G342" s="9" t="str">
        <f>IF(_xlfn.XLOOKUP(orders!C342,customers!$A$2:$A$1001,customers!$C$2:$C$1001,,,)=0,"",_xlfn.XLOOKUP(orders!C342,customers!$A$2:$A$1001,customers!$C$2:$C$1001,,,))</f>
        <v>wgiorgioni9g@wikipedia.org</v>
      </c>
      <c r="H342" s="9" t="str">
        <f>_xlfn.XLOOKUP(C342,customers!$A$2:$A$1001,customers!$G$2:$G$1001,"")</f>
        <v>United States</v>
      </c>
      <c r="I342" s="10" t="str">
        <f>INDEX(products!$A$2:$G$49,MATCH(orders!$D342,products!$A$2:$A$49,0),MATCH(orders!I$1,products!$A$1:$G$1,0))</f>
        <v>Exc</v>
      </c>
      <c r="J342" s="10" t="str">
        <f>INDEX(products!$A$2:$G$49,MATCH(orders!$D342,products!$A$2:$A$49,0),MATCH(orders!J$1,products!$A$1:$G$1,0))</f>
        <v>D</v>
      </c>
      <c r="K342" s="11">
        <f>INDEX(products!$A$2:$G$49,MATCH(orders!$D342,products!$A$2:$A$49,0),MATCH(orders!K$1,products!$A$1:$G$1,0))</f>
        <v>0.5</v>
      </c>
      <c r="L342" s="12">
        <f>INDEX(products!$A$2:$G$49,MATCH(orders!$D342,products!$A$2:$A$49,0),MATCH(orders!L$1,products!$A$1:$G$1,0))</f>
        <v>7.29</v>
      </c>
      <c r="M342" s="12">
        <f t="shared" si="15"/>
        <v>7.29</v>
      </c>
      <c r="N342" s="10" t="str">
        <f t="shared" si="16"/>
        <v>Excelsa</v>
      </c>
      <c r="O342" s="10" t="str">
        <f t="shared" si="17"/>
        <v>Dark</v>
      </c>
      <c r="P342" s="10" t="str">
        <f>_xlfn.XLOOKUP(Tableau1[[#This Row],[Customer ID]],customers!A$2:A$1001,customers!I$2:I$1001)</f>
        <v>Yes</v>
      </c>
    </row>
    <row r="343" spans="1:16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9" t="str">
        <f>_xlfn.XLOOKUP(orders!C343,customers!$A$2:$A$1001,customers!$B$2:$B$1001)</f>
        <v>Lucienne Scargle</v>
      </c>
      <c r="G343" s="9" t="str">
        <f>IF(_xlfn.XLOOKUP(orders!C343,customers!$A$2:$A$1001,customers!$C$2:$C$1001,,,)=0,"",_xlfn.XLOOKUP(orders!C343,customers!$A$2:$A$1001,customers!$C$2:$C$1001,,,))</f>
        <v>lscargle9h@myspace.com</v>
      </c>
      <c r="H343" s="9" t="str">
        <f>_xlfn.XLOOKUP(C343,customers!$A$2:$A$1001,customers!$G$2:$G$1001,"")</f>
        <v>United States</v>
      </c>
      <c r="I343" s="10" t="str">
        <f>INDEX(products!$A$2:$G$49,MATCH(orders!$D343,products!$A$2:$A$49,0),MATCH(orders!I$1,products!$A$1:$G$1,0))</f>
        <v>Exc</v>
      </c>
      <c r="J343" s="10" t="str">
        <f>INDEX(products!$A$2:$G$49,MATCH(orders!$D343,products!$A$2:$A$49,0),MATCH(orders!J$1,products!$A$1:$G$1,0))</f>
        <v>L</v>
      </c>
      <c r="K343" s="11">
        <f>INDEX(products!$A$2:$G$49,MATCH(orders!$D343,products!$A$2:$A$49,0),MATCH(orders!K$1,products!$A$1:$G$1,0))</f>
        <v>0.5</v>
      </c>
      <c r="L343" s="12">
        <f>INDEX(products!$A$2:$G$49,MATCH(orders!$D343,products!$A$2:$A$49,0),MATCH(orders!L$1,products!$A$1:$G$1,0))</f>
        <v>8.91</v>
      </c>
      <c r="M343" s="12">
        <f t="shared" si="15"/>
        <v>17.82</v>
      </c>
      <c r="N343" s="10" t="str">
        <f t="shared" si="16"/>
        <v>Excelsa</v>
      </c>
      <c r="O343" s="10" t="str">
        <f t="shared" si="17"/>
        <v>Light</v>
      </c>
      <c r="P343" s="10" t="str">
        <f>_xlfn.XLOOKUP(Tableau1[[#This Row],[Customer ID]],customers!A$2:A$1001,customers!I$2:I$1001)</f>
        <v>No</v>
      </c>
    </row>
    <row r="344" spans="1:16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9" t="str">
        <f>_xlfn.XLOOKUP(orders!C344,customers!$A$2:$A$1001,customers!$B$2:$B$1001)</f>
        <v>Lucienne Scargle</v>
      </c>
      <c r="G344" s="9" t="str">
        <f>IF(_xlfn.XLOOKUP(orders!C344,customers!$A$2:$A$1001,customers!$C$2:$C$1001,,,)=0,"",_xlfn.XLOOKUP(orders!C344,customers!$A$2:$A$1001,customers!$C$2:$C$1001,,,))</f>
        <v>lscargle9h@myspace.com</v>
      </c>
      <c r="H344" s="9" t="str">
        <f>_xlfn.XLOOKUP(C344,customers!$A$2:$A$1001,customers!$G$2:$G$1001,"")</f>
        <v>United States</v>
      </c>
      <c r="I344" s="10" t="str">
        <f>INDEX(products!$A$2:$G$49,MATCH(orders!$D344,products!$A$2:$A$49,0),MATCH(orders!I$1,products!$A$1:$G$1,0))</f>
        <v>Lib</v>
      </c>
      <c r="J344" s="10" t="str">
        <f>INDEX(products!$A$2:$G$49,MATCH(orders!$D344,products!$A$2:$A$49,0),MATCH(orders!J$1,products!$A$1:$G$1,0))</f>
        <v>D</v>
      </c>
      <c r="K344" s="11">
        <f>INDEX(products!$A$2:$G$49,MATCH(orders!$D344,products!$A$2:$A$49,0),MATCH(orders!K$1,products!$A$1:$G$1,0))</f>
        <v>0.5</v>
      </c>
      <c r="L344" s="12">
        <f>INDEX(products!$A$2:$G$49,MATCH(orders!$D344,products!$A$2:$A$49,0),MATCH(orders!L$1,products!$A$1:$G$1,0))</f>
        <v>7.77</v>
      </c>
      <c r="M344" s="12">
        <f t="shared" si="15"/>
        <v>38.849999999999994</v>
      </c>
      <c r="N344" s="10" t="str">
        <f t="shared" si="16"/>
        <v>Liberica</v>
      </c>
      <c r="O344" s="10" t="str">
        <f t="shared" si="17"/>
        <v>Dark</v>
      </c>
      <c r="P344" s="10" t="str">
        <f>_xlfn.XLOOKUP(Tableau1[[#This Row],[Customer ID]],customers!A$2:A$1001,customers!I$2:I$1001)</f>
        <v>No</v>
      </c>
    </row>
    <row r="345" spans="1:16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9" t="str">
        <f>_xlfn.XLOOKUP(orders!C345,customers!$A$2:$A$1001,customers!$B$2:$B$1001)</f>
        <v>Noam Climance</v>
      </c>
      <c r="G345" s="9" t="str">
        <f>IF(_xlfn.XLOOKUP(orders!C345,customers!$A$2:$A$1001,customers!$C$2:$C$1001,,,)=0,"",_xlfn.XLOOKUP(orders!C345,customers!$A$2:$A$1001,customers!$C$2:$C$1001,,,))</f>
        <v>nclimance9j@europa.eu</v>
      </c>
      <c r="H345" s="9" t="str">
        <f>_xlfn.XLOOKUP(C345,customers!$A$2:$A$1001,customers!$G$2:$G$1001,"")</f>
        <v>United States</v>
      </c>
      <c r="I345" s="10" t="str">
        <f>INDEX(products!$A$2:$G$49,MATCH(orders!$D345,products!$A$2:$A$49,0),MATCH(orders!I$1,products!$A$1:$G$1,0))</f>
        <v>Rob</v>
      </c>
      <c r="J345" s="10" t="str">
        <f>INDEX(products!$A$2:$G$49,MATCH(orders!$D345,products!$A$2:$A$49,0),MATCH(orders!J$1,products!$A$1:$G$1,0))</f>
        <v>D</v>
      </c>
      <c r="K345" s="11">
        <f>INDEX(products!$A$2:$G$49,MATCH(orders!$D345,products!$A$2:$A$49,0),MATCH(orders!K$1,products!$A$1:$G$1,0))</f>
        <v>0.5</v>
      </c>
      <c r="L345" s="12">
        <f>INDEX(products!$A$2:$G$49,MATCH(orders!$D345,products!$A$2:$A$49,0),MATCH(orders!L$1,products!$A$1:$G$1,0))</f>
        <v>5.3699999999999992</v>
      </c>
      <c r="M345" s="12">
        <f t="shared" si="15"/>
        <v>32.22</v>
      </c>
      <c r="N345" s="10" t="str">
        <f t="shared" si="16"/>
        <v>Robusta</v>
      </c>
      <c r="O345" s="10" t="str">
        <f t="shared" si="17"/>
        <v>Dark</v>
      </c>
      <c r="P345" s="10" t="str">
        <f>_xlfn.XLOOKUP(Tableau1[[#This Row],[Customer ID]],customers!A$2:A$1001,customers!I$2:I$1001)</f>
        <v>No</v>
      </c>
    </row>
    <row r="346" spans="1:16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9" t="str">
        <f>_xlfn.XLOOKUP(orders!C346,customers!$A$2:$A$1001,customers!$B$2:$B$1001)</f>
        <v>Catarina Donn</v>
      </c>
      <c r="G346" s="9" t="str">
        <f>IF(_xlfn.XLOOKUP(orders!C346,customers!$A$2:$A$1001,customers!$C$2:$C$1001,,,)=0,"",_xlfn.XLOOKUP(orders!C346,customers!$A$2:$A$1001,customers!$C$2:$C$1001,,,))</f>
        <v/>
      </c>
      <c r="H346" s="9" t="str">
        <f>_xlfn.XLOOKUP(C346,customers!$A$2:$A$1001,customers!$G$2:$G$1001,"")</f>
        <v>Ireland</v>
      </c>
      <c r="I346" s="10" t="str">
        <f>INDEX(products!$A$2:$G$49,MATCH(orders!$D346,products!$A$2:$A$49,0),MATCH(orders!I$1,products!$A$1:$G$1,0))</f>
        <v>Rob</v>
      </c>
      <c r="J346" s="10" t="str">
        <f>INDEX(products!$A$2:$G$49,MATCH(orders!$D346,products!$A$2:$A$49,0),MATCH(orders!J$1,products!$A$1:$G$1,0))</f>
        <v>M</v>
      </c>
      <c r="K346" s="11">
        <f>INDEX(products!$A$2:$G$49,MATCH(orders!$D346,products!$A$2:$A$49,0),MATCH(orders!K$1,products!$A$1:$G$1,0))</f>
        <v>1</v>
      </c>
      <c r="L346" s="12">
        <f>INDEX(products!$A$2:$G$49,MATCH(orders!$D346,products!$A$2:$A$49,0),MATCH(orders!L$1,products!$A$1:$G$1,0))</f>
        <v>9.9499999999999993</v>
      </c>
      <c r="M346" s="12">
        <f t="shared" si="15"/>
        <v>19.899999999999999</v>
      </c>
      <c r="N346" s="10" t="str">
        <f t="shared" si="16"/>
        <v>Robusta</v>
      </c>
      <c r="O346" s="10" t="str">
        <f t="shared" si="17"/>
        <v>Medium</v>
      </c>
      <c r="P346" s="10" t="str">
        <f>_xlfn.XLOOKUP(Tableau1[[#This Row],[Customer ID]],customers!A$2:A$1001,customers!I$2:I$1001)</f>
        <v>Yes</v>
      </c>
    </row>
    <row r="347" spans="1:16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9" t="str">
        <f>_xlfn.XLOOKUP(orders!C347,customers!$A$2:$A$1001,customers!$B$2:$B$1001)</f>
        <v>Ameline Snazle</v>
      </c>
      <c r="G347" s="9" t="str">
        <f>IF(_xlfn.XLOOKUP(orders!C347,customers!$A$2:$A$1001,customers!$C$2:$C$1001,,,)=0,"",_xlfn.XLOOKUP(orders!C347,customers!$A$2:$A$1001,customers!$C$2:$C$1001,,,))</f>
        <v>asnazle9l@oracle.com</v>
      </c>
      <c r="H347" s="9" t="str">
        <f>_xlfn.XLOOKUP(C347,customers!$A$2:$A$1001,customers!$G$2:$G$1001,"")</f>
        <v>United States</v>
      </c>
      <c r="I347" s="10" t="str">
        <f>INDEX(products!$A$2:$G$49,MATCH(orders!$D347,products!$A$2:$A$49,0),MATCH(orders!I$1,products!$A$1:$G$1,0))</f>
        <v>Rob</v>
      </c>
      <c r="J347" s="10" t="str">
        <f>INDEX(products!$A$2:$G$49,MATCH(orders!$D347,products!$A$2:$A$49,0),MATCH(orders!J$1,products!$A$1:$G$1,0))</f>
        <v>L</v>
      </c>
      <c r="K347" s="11">
        <f>INDEX(products!$A$2:$G$49,MATCH(orders!$D347,products!$A$2:$A$49,0),MATCH(orders!K$1,products!$A$1:$G$1,0))</f>
        <v>1</v>
      </c>
      <c r="L347" s="12">
        <f>INDEX(products!$A$2:$G$49,MATCH(orders!$D347,products!$A$2:$A$49,0),MATCH(orders!L$1,products!$A$1:$G$1,0))</f>
        <v>11.95</v>
      </c>
      <c r="M347" s="12">
        <f t="shared" si="15"/>
        <v>59.75</v>
      </c>
      <c r="N347" s="10" t="str">
        <f t="shared" si="16"/>
        <v>Robusta</v>
      </c>
      <c r="O347" s="10" t="str">
        <f t="shared" si="17"/>
        <v>Light</v>
      </c>
      <c r="P347" s="10" t="str">
        <f>_xlfn.XLOOKUP(Tableau1[[#This Row],[Customer ID]],customers!A$2:A$1001,customers!I$2:I$1001)</f>
        <v>No</v>
      </c>
    </row>
    <row r="348" spans="1:16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9" t="str">
        <f>_xlfn.XLOOKUP(orders!C348,customers!$A$2:$A$1001,customers!$B$2:$B$1001)</f>
        <v>Rebeka Worg</v>
      </c>
      <c r="G348" s="9" t="str">
        <f>IF(_xlfn.XLOOKUP(orders!C348,customers!$A$2:$A$1001,customers!$C$2:$C$1001,,,)=0,"",_xlfn.XLOOKUP(orders!C348,customers!$A$2:$A$1001,customers!$C$2:$C$1001,,,))</f>
        <v>rworg9m@arstechnica.com</v>
      </c>
      <c r="H348" s="9" t="str">
        <f>_xlfn.XLOOKUP(C348,customers!$A$2:$A$1001,customers!$G$2:$G$1001,"")</f>
        <v>United States</v>
      </c>
      <c r="I348" s="10" t="str">
        <f>INDEX(products!$A$2:$G$49,MATCH(orders!$D348,products!$A$2:$A$49,0),MATCH(orders!I$1,products!$A$1:$G$1,0))</f>
        <v>Ara</v>
      </c>
      <c r="J348" s="10" t="str">
        <f>INDEX(products!$A$2:$G$49,MATCH(orders!$D348,products!$A$2:$A$49,0),MATCH(orders!J$1,products!$A$1:$G$1,0))</f>
        <v>L</v>
      </c>
      <c r="K348" s="11">
        <f>INDEX(products!$A$2:$G$49,MATCH(orders!$D348,products!$A$2:$A$49,0),MATCH(orders!K$1,products!$A$1:$G$1,0))</f>
        <v>0.5</v>
      </c>
      <c r="L348" s="12">
        <f>INDEX(products!$A$2:$G$49,MATCH(orders!$D348,products!$A$2:$A$49,0),MATCH(orders!L$1,products!$A$1:$G$1,0))</f>
        <v>7.77</v>
      </c>
      <c r="M348" s="12">
        <f t="shared" si="15"/>
        <v>23.31</v>
      </c>
      <c r="N348" s="10" t="str">
        <f t="shared" si="16"/>
        <v>Arabica</v>
      </c>
      <c r="O348" s="10" t="str">
        <f t="shared" si="17"/>
        <v>Light</v>
      </c>
      <c r="P348" s="10" t="str">
        <f>_xlfn.XLOOKUP(Tableau1[[#This Row],[Customer ID]],customers!A$2:A$1001,customers!I$2:I$1001)</f>
        <v>Yes</v>
      </c>
    </row>
    <row r="349" spans="1:16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9" t="str">
        <f>_xlfn.XLOOKUP(orders!C349,customers!$A$2:$A$1001,customers!$B$2:$B$1001)</f>
        <v>Lewes Danes</v>
      </c>
      <c r="G349" s="9" t="str">
        <f>IF(_xlfn.XLOOKUP(orders!C349,customers!$A$2:$A$1001,customers!$C$2:$C$1001,,,)=0,"",_xlfn.XLOOKUP(orders!C349,customers!$A$2:$A$1001,customers!$C$2:$C$1001,,,))</f>
        <v>ldanes9n@umn.edu</v>
      </c>
      <c r="H349" s="9" t="str">
        <f>_xlfn.XLOOKUP(C349,customers!$A$2:$A$1001,customers!$G$2:$G$1001,"")</f>
        <v>United States</v>
      </c>
      <c r="I349" s="10" t="str">
        <f>INDEX(products!$A$2:$G$49,MATCH(orders!$D349,products!$A$2:$A$49,0),MATCH(orders!I$1,products!$A$1:$G$1,0))</f>
        <v>Lib</v>
      </c>
      <c r="J349" s="10" t="str">
        <f>INDEX(products!$A$2:$G$49,MATCH(orders!$D349,products!$A$2:$A$49,0),MATCH(orders!J$1,products!$A$1:$G$1,0))</f>
        <v>M</v>
      </c>
      <c r="K349" s="11">
        <f>INDEX(products!$A$2:$G$49,MATCH(orders!$D349,products!$A$2:$A$49,0),MATCH(orders!K$1,products!$A$1:$G$1,0))</f>
        <v>1</v>
      </c>
      <c r="L349" s="12">
        <f>INDEX(products!$A$2:$G$49,MATCH(orders!$D349,products!$A$2:$A$49,0),MATCH(orders!L$1,products!$A$1:$G$1,0))</f>
        <v>14.55</v>
      </c>
      <c r="M349" s="12">
        <f t="shared" si="15"/>
        <v>43.650000000000006</v>
      </c>
      <c r="N349" s="10" t="str">
        <f t="shared" si="16"/>
        <v>Liberica</v>
      </c>
      <c r="O349" s="10" t="str">
        <f t="shared" si="17"/>
        <v>Medium</v>
      </c>
      <c r="P349" s="10" t="str">
        <f>_xlfn.XLOOKUP(Tableau1[[#This Row],[Customer ID]],customers!A$2:A$1001,customers!I$2:I$1001)</f>
        <v>No</v>
      </c>
    </row>
    <row r="350" spans="1:16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9" t="str">
        <f>_xlfn.XLOOKUP(orders!C350,customers!$A$2:$A$1001,customers!$B$2:$B$1001)</f>
        <v>Shelli Keynd</v>
      </c>
      <c r="G350" s="9" t="str">
        <f>IF(_xlfn.XLOOKUP(orders!C350,customers!$A$2:$A$1001,customers!$C$2:$C$1001,,,)=0,"",_xlfn.XLOOKUP(orders!C350,customers!$A$2:$A$1001,customers!$C$2:$C$1001,,,))</f>
        <v>skeynd9o@narod.ru</v>
      </c>
      <c r="H350" s="9" t="str">
        <f>_xlfn.XLOOKUP(C350,customers!$A$2:$A$1001,customers!$G$2:$G$1001,"")</f>
        <v>United States</v>
      </c>
      <c r="I350" s="10" t="str">
        <f>INDEX(products!$A$2:$G$49,MATCH(orders!$D350,products!$A$2:$A$49,0),MATCH(orders!I$1,products!$A$1:$G$1,0))</f>
        <v>Exc</v>
      </c>
      <c r="J350" s="10" t="str">
        <f>INDEX(products!$A$2:$G$49,MATCH(orders!$D350,products!$A$2:$A$49,0),MATCH(orders!J$1,products!$A$1:$G$1,0))</f>
        <v>L</v>
      </c>
      <c r="K350" s="11">
        <f>INDEX(products!$A$2:$G$49,MATCH(orders!$D350,products!$A$2:$A$49,0),MATCH(orders!K$1,products!$A$1:$G$1,0))</f>
        <v>2.5</v>
      </c>
      <c r="L350" s="12">
        <f>INDEX(products!$A$2:$G$49,MATCH(orders!$D350,products!$A$2:$A$49,0),MATCH(orders!L$1,products!$A$1:$G$1,0))</f>
        <v>34.154999999999994</v>
      </c>
      <c r="M350" s="12">
        <f t="shared" si="15"/>
        <v>204.92999999999995</v>
      </c>
      <c r="N350" s="10" t="str">
        <f t="shared" si="16"/>
        <v>Excelsa</v>
      </c>
      <c r="O350" s="10" t="str">
        <f t="shared" si="17"/>
        <v>Light</v>
      </c>
      <c r="P350" s="10" t="str">
        <f>_xlfn.XLOOKUP(Tableau1[[#This Row],[Customer ID]],customers!A$2:A$1001,customers!I$2:I$1001)</f>
        <v>No</v>
      </c>
    </row>
    <row r="351" spans="1:16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9" t="str">
        <f>_xlfn.XLOOKUP(orders!C351,customers!$A$2:$A$1001,customers!$B$2:$B$1001)</f>
        <v>Dell Daveridge</v>
      </c>
      <c r="G351" s="9" t="str">
        <f>IF(_xlfn.XLOOKUP(orders!C351,customers!$A$2:$A$1001,customers!$C$2:$C$1001,,,)=0,"",_xlfn.XLOOKUP(orders!C351,customers!$A$2:$A$1001,customers!$C$2:$C$1001,,,))</f>
        <v>ddaveridge9p@arstechnica.com</v>
      </c>
      <c r="H351" s="9" t="str">
        <f>_xlfn.XLOOKUP(C351,customers!$A$2:$A$1001,customers!$G$2:$G$1001,"")</f>
        <v>United States</v>
      </c>
      <c r="I351" s="10" t="str">
        <f>INDEX(products!$A$2:$G$49,MATCH(orders!$D351,products!$A$2:$A$49,0),MATCH(orders!I$1,products!$A$1:$G$1,0))</f>
        <v>Rob</v>
      </c>
      <c r="J351" s="10" t="str">
        <f>INDEX(products!$A$2:$G$49,MATCH(orders!$D351,products!$A$2:$A$49,0),MATCH(orders!J$1,products!$A$1:$G$1,0))</f>
        <v>L</v>
      </c>
      <c r="K351" s="11">
        <f>INDEX(products!$A$2:$G$49,MATCH(orders!$D351,products!$A$2:$A$49,0),MATCH(orders!K$1,products!$A$1:$G$1,0))</f>
        <v>0.2</v>
      </c>
      <c r="L351" s="12">
        <f>INDEX(products!$A$2:$G$49,MATCH(orders!$D351,products!$A$2:$A$49,0),MATCH(orders!L$1,products!$A$1:$G$1,0))</f>
        <v>3.5849999999999995</v>
      </c>
      <c r="M351" s="12">
        <f t="shared" si="15"/>
        <v>14.339999999999998</v>
      </c>
      <c r="N351" s="10" t="str">
        <f t="shared" si="16"/>
        <v>Robusta</v>
      </c>
      <c r="O351" s="10" t="str">
        <f t="shared" si="17"/>
        <v>Light</v>
      </c>
      <c r="P351" s="10" t="str">
        <f>_xlfn.XLOOKUP(Tableau1[[#This Row],[Customer ID]],customers!A$2:A$1001,customers!I$2:I$1001)</f>
        <v>No</v>
      </c>
    </row>
    <row r="352" spans="1:16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9" t="str">
        <f>_xlfn.XLOOKUP(orders!C352,customers!$A$2:$A$1001,customers!$B$2:$B$1001)</f>
        <v>Joshuah Awdry</v>
      </c>
      <c r="G352" s="9" t="str">
        <f>IF(_xlfn.XLOOKUP(orders!C352,customers!$A$2:$A$1001,customers!$C$2:$C$1001,,,)=0,"",_xlfn.XLOOKUP(orders!C352,customers!$A$2:$A$1001,customers!$C$2:$C$1001,,,))</f>
        <v>jawdry9q@utexas.edu</v>
      </c>
      <c r="H352" s="9" t="str">
        <f>_xlfn.XLOOKUP(C352,customers!$A$2:$A$1001,customers!$G$2:$G$1001,"")</f>
        <v>United States</v>
      </c>
      <c r="I352" s="10" t="str">
        <f>INDEX(products!$A$2:$G$49,MATCH(orders!$D352,products!$A$2:$A$49,0),MATCH(orders!I$1,products!$A$1:$G$1,0))</f>
        <v>Ara</v>
      </c>
      <c r="J352" s="10" t="str">
        <f>INDEX(products!$A$2:$G$49,MATCH(orders!$D352,products!$A$2:$A$49,0),MATCH(orders!J$1,products!$A$1:$G$1,0))</f>
        <v>D</v>
      </c>
      <c r="K352" s="11">
        <f>INDEX(products!$A$2:$G$49,MATCH(orders!$D352,products!$A$2:$A$49,0),MATCH(orders!K$1,products!$A$1:$G$1,0))</f>
        <v>0.5</v>
      </c>
      <c r="L352" s="12">
        <f>INDEX(products!$A$2:$G$49,MATCH(orders!$D352,products!$A$2:$A$49,0),MATCH(orders!L$1,products!$A$1:$G$1,0))</f>
        <v>5.97</v>
      </c>
      <c r="M352" s="12">
        <f t="shared" si="15"/>
        <v>23.88</v>
      </c>
      <c r="N352" s="10" t="str">
        <f t="shared" si="16"/>
        <v>Arabica</v>
      </c>
      <c r="O352" s="10" t="str">
        <f t="shared" si="17"/>
        <v>Dark</v>
      </c>
      <c r="P352" s="10" t="str">
        <f>_xlfn.XLOOKUP(Tableau1[[#This Row],[Customer ID]],customers!A$2:A$1001,customers!I$2:I$1001)</f>
        <v>No</v>
      </c>
    </row>
    <row r="353" spans="1:16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9" t="str">
        <f>_xlfn.XLOOKUP(orders!C353,customers!$A$2:$A$1001,customers!$B$2:$B$1001)</f>
        <v>Ethel Ryles</v>
      </c>
      <c r="G353" s="9" t="str">
        <f>IF(_xlfn.XLOOKUP(orders!C353,customers!$A$2:$A$1001,customers!$C$2:$C$1001,,,)=0,"",_xlfn.XLOOKUP(orders!C353,customers!$A$2:$A$1001,customers!$C$2:$C$1001,,,))</f>
        <v>eryles9r@fastcompany.com</v>
      </c>
      <c r="H353" s="9" t="str">
        <f>_xlfn.XLOOKUP(C353,customers!$A$2:$A$1001,customers!$G$2:$G$1001,"")</f>
        <v>United States</v>
      </c>
      <c r="I353" s="10" t="str">
        <f>INDEX(products!$A$2:$G$49,MATCH(orders!$D353,products!$A$2:$A$49,0),MATCH(orders!I$1,products!$A$1:$G$1,0))</f>
        <v>Ara</v>
      </c>
      <c r="J353" s="10" t="str">
        <f>INDEX(products!$A$2:$G$49,MATCH(orders!$D353,products!$A$2:$A$49,0),MATCH(orders!J$1,products!$A$1:$G$1,0))</f>
        <v>M</v>
      </c>
      <c r="K353" s="11">
        <f>INDEX(products!$A$2:$G$49,MATCH(orders!$D353,products!$A$2:$A$49,0),MATCH(orders!K$1,products!$A$1:$G$1,0))</f>
        <v>1</v>
      </c>
      <c r="L353" s="12">
        <f>INDEX(products!$A$2:$G$49,MATCH(orders!$D353,products!$A$2:$A$49,0),MATCH(orders!L$1,products!$A$1:$G$1,0))</f>
        <v>11.25</v>
      </c>
      <c r="M353" s="12">
        <f t="shared" si="15"/>
        <v>22.5</v>
      </c>
      <c r="N353" s="10" t="str">
        <f t="shared" si="16"/>
        <v>Arabica</v>
      </c>
      <c r="O353" s="10" t="str">
        <f t="shared" si="17"/>
        <v>Medium</v>
      </c>
      <c r="P353" s="10" t="str">
        <f>_xlfn.XLOOKUP(Tableau1[[#This Row],[Customer ID]],customers!A$2:A$1001,customers!I$2:I$1001)</f>
        <v>No</v>
      </c>
    </row>
    <row r="354" spans="1:16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9" t="str">
        <f>_xlfn.XLOOKUP(orders!C354,customers!$A$2:$A$1001,customers!$B$2:$B$1001)</f>
        <v>Flynn Antony</v>
      </c>
      <c r="G354" s="9" t="str">
        <f>IF(_xlfn.XLOOKUP(orders!C354,customers!$A$2:$A$1001,customers!$C$2:$C$1001,,,)=0,"",_xlfn.XLOOKUP(orders!C354,customers!$A$2:$A$1001,customers!$C$2:$C$1001,,,))</f>
        <v/>
      </c>
      <c r="H354" s="9" t="str">
        <f>_xlfn.XLOOKUP(C354,customers!$A$2:$A$1001,customers!$G$2:$G$1001,"")</f>
        <v>United States</v>
      </c>
      <c r="I354" s="10" t="str">
        <f>INDEX(products!$A$2:$G$49,MATCH(orders!$D354,products!$A$2:$A$49,0),MATCH(orders!I$1,products!$A$1:$G$1,0))</f>
        <v>Exc</v>
      </c>
      <c r="J354" s="10" t="str">
        <f>INDEX(products!$A$2:$G$49,MATCH(orders!$D354,products!$A$2:$A$49,0),MATCH(orders!J$1,products!$A$1:$G$1,0))</f>
        <v>D</v>
      </c>
      <c r="K354" s="11">
        <f>INDEX(products!$A$2:$G$49,MATCH(orders!$D354,products!$A$2:$A$49,0),MATCH(orders!K$1,products!$A$1:$G$1,0))</f>
        <v>0.5</v>
      </c>
      <c r="L354" s="12">
        <f>INDEX(products!$A$2:$G$49,MATCH(orders!$D354,products!$A$2:$A$49,0),MATCH(orders!L$1,products!$A$1:$G$1,0))</f>
        <v>7.29</v>
      </c>
      <c r="M354" s="12">
        <f t="shared" si="15"/>
        <v>36.450000000000003</v>
      </c>
      <c r="N354" s="10" t="str">
        <f t="shared" si="16"/>
        <v>Excelsa</v>
      </c>
      <c r="O354" s="10" t="str">
        <f t="shared" si="17"/>
        <v>Dark</v>
      </c>
      <c r="P354" s="10" t="str">
        <f>_xlfn.XLOOKUP(Tableau1[[#This Row],[Customer ID]],customers!A$2:A$1001,customers!I$2:I$1001)</f>
        <v>No</v>
      </c>
    </row>
    <row r="355" spans="1:16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9" t="str">
        <f>_xlfn.XLOOKUP(orders!C355,customers!$A$2:$A$1001,customers!$B$2:$B$1001)</f>
        <v>Maitilde Boxill</v>
      </c>
      <c r="G355" s="9" t="str">
        <f>IF(_xlfn.XLOOKUP(orders!C355,customers!$A$2:$A$1001,customers!$C$2:$C$1001,,,)=0,"",_xlfn.XLOOKUP(orders!C355,customers!$A$2:$A$1001,customers!$C$2:$C$1001,,,))</f>
        <v/>
      </c>
      <c r="H355" s="9" t="str">
        <f>_xlfn.XLOOKUP(C355,customers!$A$2:$A$1001,customers!$G$2:$G$1001,"")</f>
        <v>United States</v>
      </c>
      <c r="I355" s="10" t="str">
        <f>INDEX(products!$A$2:$G$49,MATCH(orders!$D355,products!$A$2:$A$49,0),MATCH(orders!I$1,products!$A$1:$G$1,0))</f>
        <v>Ara</v>
      </c>
      <c r="J355" s="10" t="str">
        <f>INDEX(products!$A$2:$G$49,MATCH(orders!$D355,products!$A$2:$A$49,0),MATCH(orders!J$1,products!$A$1:$G$1,0))</f>
        <v>M</v>
      </c>
      <c r="K355" s="11">
        <f>INDEX(products!$A$2:$G$49,MATCH(orders!$D355,products!$A$2:$A$49,0),MATCH(orders!K$1,products!$A$1:$G$1,0))</f>
        <v>0.5</v>
      </c>
      <c r="L355" s="12">
        <f>INDEX(products!$A$2:$G$49,MATCH(orders!$D355,products!$A$2:$A$49,0),MATCH(orders!L$1,products!$A$1:$G$1,0))</f>
        <v>6.75</v>
      </c>
      <c r="M355" s="12">
        <f t="shared" si="15"/>
        <v>27</v>
      </c>
      <c r="N355" s="10" t="str">
        <f t="shared" si="16"/>
        <v>Arabica</v>
      </c>
      <c r="O355" s="10" t="str">
        <f t="shared" si="17"/>
        <v>Medium</v>
      </c>
      <c r="P355" s="10" t="str">
        <f>_xlfn.XLOOKUP(Tableau1[[#This Row],[Customer ID]],customers!A$2:A$1001,customers!I$2:I$1001)</f>
        <v>Yes</v>
      </c>
    </row>
    <row r="356" spans="1:16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9" t="str">
        <f>_xlfn.XLOOKUP(orders!C356,customers!$A$2:$A$1001,customers!$B$2:$B$1001)</f>
        <v>Jodee Caldicott</v>
      </c>
      <c r="G356" s="9" t="str">
        <f>IF(_xlfn.XLOOKUP(orders!C356,customers!$A$2:$A$1001,customers!$C$2:$C$1001,,,)=0,"",_xlfn.XLOOKUP(orders!C356,customers!$A$2:$A$1001,customers!$C$2:$C$1001,,,))</f>
        <v>jcaldicott9u@usda.gov</v>
      </c>
      <c r="H356" s="9" t="str">
        <f>_xlfn.XLOOKUP(C356,customers!$A$2:$A$1001,customers!$G$2:$G$1001,"")</f>
        <v>United States</v>
      </c>
      <c r="I356" s="10" t="str">
        <f>INDEX(products!$A$2:$G$49,MATCH(orders!$D356,products!$A$2:$A$49,0),MATCH(orders!I$1,products!$A$1:$G$1,0))</f>
        <v>Ara</v>
      </c>
      <c r="J356" s="10" t="str">
        <f>INDEX(products!$A$2:$G$49,MATCH(orders!$D356,products!$A$2:$A$49,0),MATCH(orders!J$1,products!$A$1:$G$1,0))</f>
        <v>M</v>
      </c>
      <c r="K356" s="11">
        <f>INDEX(products!$A$2:$G$49,MATCH(orders!$D356,products!$A$2:$A$49,0),MATCH(orders!K$1,products!$A$1:$G$1,0))</f>
        <v>2.5</v>
      </c>
      <c r="L356" s="12">
        <f>INDEX(products!$A$2:$G$49,MATCH(orders!$D356,products!$A$2:$A$49,0),MATCH(orders!L$1,products!$A$1:$G$1,0))</f>
        <v>25.874999999999996</v>
      </c>
      <c r="M356" s="12">
        <f t="shared" si="15"/>
        <v>155.24999999999997</v>
      </c>
      <c r="N356" s="10" t="str">
        <f t="shared" si="16"/>
        <v>Arabica</v>
      </c>
      <c r="O356" s="10" t="str">
        <f t="shared" si="17"/>
        <v>Medium</v>
      </c>
      <c r="P356" s="10" t="str">
        <f>_xlfn.XLOOKUP(Tableau1[[#This Row],[Customer ID]],customers!A$2:A$1001,customers!I$2:I$1001)</f>
        <v>No</v>
      </c>
    </row>
    <row r="357" spans="1:16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9" t="str">
        <f>_xlfn.XLOOKUP(orders!C357,customers!$A$2:$A$1001,customers!$B$2:$B$1001)</f>
        <v>Marianna Vedmore</v>
      </c>
      <c r="G357" s="9" t="str">
        <f>IF(_xlfn.XLOOKUP(orders!C357,customers!$A$2:$A$1001,customers!$C$2:$C$1001,,,)=0,"",_xlfn.XLOOKUP(orders!C357,customers!$A$2:$A$1001,customers!$C$2:$C$1001,,,))</f>
        <v>mvedmore9v@a8.net</v>
      </c>
      <c r="H357" s="9" t="str">
        <f>_xlfn.XLOOKUP(C357,customers!$A$2:$A$1001,customers!$G$2:$G$1001,"")</f>
        <v>United States</v>
      </c>
      <c r="I357" s="10" t="str">
        <f>INDEX(products!$A$2:$G$49,MATCH(orders!$D357,products!$A$2:$A$49,0),MATCH(orders!I$1,products!$A$1:$G$1,0))</f>
        <v>Ara</v>
      </c>
      <c r="J357" s="10" t="str">
        <f>INDEX(products!$A$2:$G$49,MATCH(orders!$D357,products!$A$2:$A$49,0),MATCH(orders!J$1,products!$A$1:$G$1,0))</f>
        <v>D</v>
      </c>
      <c r="K357" s="11">
        <f>INDEX(products!$A$2:$G$49,MATCH(orders!$D357,products!$A$2:$A$49,0),MATCH(orders!K$1,products!$A$1:$G$1,0))</f>
        <v>2.5</v>
      </c>
      <c r="L357" s="12">
        <f>INDEX(products!$A$2:$G$49,MATCH(orders!$D357,products!$A$2:$A$49,0),MATCH(orders!L$1,products!$A$1:$G$1,0))</f>
        <v>22.884999999999998</v>
      </c>
      <c r="M357" s="12">
        <f t="shared" si="15"/>
        <v>114.42499999999998</v>
      </c>
      <c r="N357" s="10" t="str">
        <f t="shared" si="16"/>
        <v>Arabica</v>
      </c>
      <c r="O357" s="10" t="str">
        <f t="shared" si="17"/>
        <v>Dark</v>
      </c>
      <c r="P357" s="10" t="str">
        <f>_xlfn.XLOOKUP(Tableau1[[#This Row],[Customer ID]],customers!A$2:A$1001,customers!I$2:I$1001)</f>
        <v>Yes</v>
      </c>
    </row>
    <row r="358" spans="1:16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9" t="str">
        <f>_xlfn.XLOOKUP(orders!C358,customers!$A$2:$A$1001,customers!$B$2:$B$1001)</f>
        <v>Willey Romao</v>
      </c>
      <c r="G358" s="9" t="str">
        <f>IF(_xlfn.XLOOKUP(orders!C358,customers!$A$2:$A$1001,customers!$C$2:$C$1001,,,)=0,"",_xlfn.XLOOKUP(orders!C358,customers!$A$2:$A$1001,customers!$C$2:$C$1001,,,))</f>
        <v>wromao9w@chronoengine.com</v>
      </c>
      <c r="H358" s="9" t="str">
        <f>_xlfn.XLOOKUP(C358,customers!$A$2:$A$1001,customers!$G$2:$G$1001,"")</f>
        <v>United States</v>
      </c>
      <c r="I358" s="10" t="str">
        <f>INDEX(products!$A$2:$G$49,MATCH(orders!$D358,products!$A$2:$A$49,0),MATCH(orders!I$1,products!$A$1:$G$1,0))</f>
        <v>Lib</v>
      </c>
      <c r="J358" s="10" t="str">
        <f>INDEX(products!$A$2:$G$49,MATCH(orders!$D358,products!$A$2:$A$49,0),MATCH(orders!J$1,products!$A$1:$G$1,0))</f>
        <v>D</v>
      </c>
      <c r="K358" s="11">
        <f>INDEX(products!$A$2:$G$49,MATCH(orders!$D358,products!$A$2:$A$49,0),MATCH(orders!K$1,products!$A$1:$G$1,0))</f>
        <v>1</v>
      </c>
      <c r="L358" s="12">
        <f>INDEX(products!$A$2:$G$49,MATCH(orders!$D358,products!$A$2:$A$49,0),MATCH(orders!L$1,products!$A$1:$G$1,0))</f>
        <v>12.95</v>
      </c>
      <c r="M358" s="12">
        <f t="shared" si="15"/>
        <v>51.8</v>
      </c>
      <c r="N358" s="10" t="str">
        <f t="shared" si="16"/>
        <v>Liberica</v>
      </c>
      <c r="O358" s="10" t="str">
        <f t="shared" si="17"/>
        <v>Dark</v>
      </c>
      <c r="P358" s="10" t="str">
        <f>_xlfn.XLOOKUP(Tableau1[[#This Row],[Customer ID]],customers!A$2:A$1001,customers!I$2:I$1001)</f>
        <v>Yes</v>
      </c>
    </row>
    <row r="359" spans="1:16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9" t="str">
        <f>_xlfn.XLOOKUP(orders!C359,customers!$A$2:$A$1001,customers!$B$2:$B$1001)</f>
        <v>Enriqueta Ixor</v>
      </c>
      <c r="G359" s="9" t="str">
        <f>IF(_xlfn.XLOOKUP(orders!C359,customers!$A$2:$A$1001,customers!$C$2:$C$1001,,,)=0,"",_xlfn.XLOOKUP(orders!C359,customers!$A$2:$A$1001,customers!$C$2:$C$1001,,,))</f>
        <v/>
      </c>
      <c r="H359" s="9" t="str">
        <f>_xlfn.XLOOKUP(C359,customers!$A$2:$A$1001,customers!$G$2:$G$1001,"")</f>
        <v>United States</v>
      </c>
      <c r="I359" s="10" t="str">
        <f>INDEX(products!$A$2:$G$49,MATCH(orders!$D359,products!$A$2:$A$49,0),MATCH(orders!I$1,products!$A$1:$G$1,0))</f>
        <v>Ara</v>
      </c>
      <c r="J359" s="10" t="str">
        <f>INDEX(products!$A$2:$G$49,MATCH(orders!$D359,products!$A$2:$A$49,0),MATCH(orders!J$1,products!$A$1:$G$1,0))</f>
        <v>M</v>
      </c>
      <c r="K359" s="11">
        <f>INDEX(products!$A$2:$G$49,MATCH(orders!$D359,products!$A$2:$A$49,0),MATCH(orders!K$1,products!$A$1:$G$1,0))</f>
        <v>2.5</v>
      </c>
      <c r="L359" s="12">
        <f>INDEX(products!$A$2:$G$49,MATCH(orders!$D359,products!$A$2:$A$49,0),MATCH(orders!L$1,products!$A$1:$G$1,0))</f>
        <v>25.874999999999996</v>
      </c>
      <c r="M359" s="12">
        <f t="shared" si="15"/>
        <v>155.24999999999997</v>
      </c>
      <c r="N359" s="10" t="str">
        <f t="shared" si="16"/>
        <v>Arabica</v>
      </c>
      <c r="O359" s="10" t="str">
        <f t="shared" si="17"/>
        <v>Medium</v>
      </c>
      <c r="P359" s="10" t="str">
        <f>_xlfn.XLOOKUP(Tableau1[[#This Row],[Customer ID]],customers!A$2:A$1001,customers!I$2:I$1001)</f>
        <v>No</v>
      </c>
    </row>
    <row r="360" spans="1:16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9" t="str">
        <f>_xlfn.XLOOKUP(orders!C360,customers!$A$2:$A$1001,customers!$B$2:$B$1001)</f>
        <v>Tomasina Cotmore</v>
      </c>
      <c r="G360" s="9" t="str">
        <f>IF(_xlfn.XLOOKUP(orders!C360,customers!$A$2:$A$1001,customers!$C$2:$C$1001,,,)=0,"",_xlfn.XLOOKUP(orders!C360,customers!$A$2:$A$1001,customers!$C$2:$C$1001,,,))</f>
        <v>tcotmore9y@amazonaws.com</v>
      </c>
      <c r="H360" s="9" t="str">
        <f>_xlfn.XLOOKUP(C360,customers!$A$2:$A$1001,customers!$G$2:$G$1001,"")</f>
        <v>United States</v>
      </c>
      <c r="I360" s="10" t="str">
        <f>INDEX(products!$A$2:$G$49,MATCH(orders!$D360,products!$A$2:$A$49,0),MATCH(orders!I$1,products!$A$1:$G$1,0))</f>
        <v>Ara</v>
      </c>
      <c r="J360" s="10" t="str">
        <f>INDEX(products!$A$2:$G$49,MATCH(orders!$D360,products!$A$2:$A$49,0),MATCH(orders!J$1,products!$A$1:$G$1,0))</f>
        <v>L</v>
      </c>
      <c r="K360" s="11">
        <f>INDEX(products!$A$2:$G$49,MATCH(orders!$D360,products!$A$2:$A$49,0),MATCH(orders!K$1,products!$A$1:$G$1,0))</f>
        <v>2.5</v>
      </c>
      <c r="L360" s="12">
        <f>INDEX(products!$A$2:$G$49,MATCH(orders!$D360,products!$A$2:$A$49,0),MATCH(orders!L$1,products!$A$1:$G$1,0))</f>
        <v>29.784999999999997</v>
      </c>
      <c r="M360" s="12">
        <f t="shared" si="15"/>
        <v>29.784999999999997</v>
      </c>
      <c r="N360" s="10" t="str">
        <f t="shared" si="16"/>
        <v>Arabica</v>
      </c>
      <c r="O360" s="10" t="str">
        <f t="shared" si="17"/>
        <v>Light</v>
      </c>
      <c r="P360" s="10" t="str">
        <f>_xlfn.XLOOKUP(Tableau1[[#This Row],[Customer ID]],customers!A$2:A$1001,customers!I$2:I$1001)</f>
        <v>No</v>
      </c>
    </row>
    <row r="361" spans="1:16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9" t="str">
        <f>_xlfn.XLOOKUP(orders!C361,customers!$A$2:$A$1001,customers!$B$2:$B$1001)</f>
        <v>Yuma Skipsey</v>
      </c>
      <c r="G361" s="9" t="str">
        <f>IF(_xlfn.XLOOKUP(orders!C361,customers!$A$2:$A$1001,customers!$C$2:$C$1001,,,)=0,"",_xlfn.XLOOKUP(orders!C361,customers!$A$2:$A$1001,customers!$C$2:$C$1001,,,))</f>
        <v>yskipsey9z@spotify.com</v>
      </c>
      <c r="H361" s="9" t="str">
        <f>_xlfn.XLOOKUP(C361,customers!$A$2:$A$1001,customers!$G$2:$G$1001,"")</f>
        <v>United Kingdom</v>
      </c>
      <c r="I361" s="10" t="str">
        <f>INDEX(products!$A$2:$G$49,MATCH(orders!$D361,products!$A$2:$A$49,0),MATCH(orders!I$1,products!$A$1:$G$1,0))</f>
        <v>Rob</v>
      </c>
      <c r="J361" s="10" t="str">
        <f>INDEX(products!$A$2:$G$49,MATCH(orders!$D361,products!$A$2:$A$49,0),MATCH(orders!J$1,products!$A$1:$G$1,0))</f>
        <v>L</v>
      </c>
      <c r="K361" s="11">
        <f>INDEX(products!$A$2:$G$49,MATCH(orders!$D361,products!$A$2:$A$49,0),MATCH(orders!K$1,products!$A$1:$G$1,0))</f>
        <v>0.2</v>
      </c>
      <c r="L361" s="12">
        <f>INDEX(products!$A$2:$G$49,MATCH(orders!$D361,products!$A$2:$A$49,0),MATCH(orders!L$1,products!$A$1:$G$1,0))</f>
        <v>3.5849999999999995</v>
      </c>
      <c r="M361" s="12">
        <f t="shared" si="15"/>
        <v>21.509999999999998</v>
      </c>
      <c r="N361" s="10" t="str">
        <f t="shared" si="16"/>
        <v>Robusta</v>
      </c>
      <c r="O361" s="10" t="str">
        <f t="shared" si="17"/>
        <v>Light</v>
      </c>
      <c r="P361" s="10" t="str">
        <f>_xlfn.XLOOKUP(Tableau1[[#This Row],[Customer ID]],customers!A$2:A$1001,customers!I$2:I$1001)</f>
        <v>No</v>
      </c>
    </row>
    <row r="362" spans="1:16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9" t="str">
        <f>_xlfn.XLOOKUP(orders!C362,customers!$A$2:$A$1001,customers!$B$2:$B$1001)</f>
        <v>Nicko Corps</v>
      </c>
      <c r="G362" s="9" t="str">
        <f>IF(_xlfn.XLOOKUP(orders!C362,customers!$A$2:$A$1001,customers!$C$2:$C$1001,,,)=0,"",_xlfn.XLOOKUP(orders!C362,customers!$A$2:$A$1001,customers!$C$2:$C$1001,,,))</f>
        <v>ncorpsa0@gmpg.org</v>
      </c>
      <c r="H362" s="9" t="str">
        <f>_xlfn.XLOOKUP(C362,customers!$A$2:$A$1001,customers!$G$2:$G$1001,"")</f>
        <v>United States</v>
      </c>
      <c r="I362" s="10" t="str">
        <f>INDEX(products!$A$2:$G$49,MATCH(orders!$D362,products!$A$2:$A$49,0),MATCH(orders!I$1,products!$A$1:$G$1,0))</f>
        <v>Rob</v>
      </c>
      <c r="J362" s="10" t="str">
        <f>INDEX(products!$A$2:$G$49,MATCH(orders!$D362,products!$A$2:$A$49,0),MATCH(orders!J$1,products!$A$1:$G$1,0))</f>
        <v>D</v>
      </c>
      <c r="K362" s="11">
        <f>INDEX(products!$A$2:$G$49,MATCH(orders!$D362,products!$A$2:$A$49,0),MATCH(orders!K$1,products!$A$1:$G$1,0))</f>
        <v>2.5</v>
      </c>
      <c r="L362" s="12">
        <f>INDEX(products!$A$2:$G$49,MATCH(orders!$D362,products!$A$2:$A$49,0),MATCH(orders!L$1,products!$A$1:$G$1,0))</f>
        <v>20.584999999999997</v>
      </c>
      <c r="M362" s="12">
        <f t="shared" si="15"/>
        <v>41.169999999999995</v>
      </c>
      <c r="N362" s="10" t="str">
        <f t="shared" si="16"/>
        <v>Robusta</v>
      </c>
      <c r="O362" s="10" t="str">
        <f t="shared" si="17"/>
        <v>Dark</v>
      </c>
      <c r="P362" s="10" t="str">
        <f>_xlfn.XLOOKUP(Tableau1[[#This Row],[Customer ID]],customers!A$2:A$1001,customers!I$2:I$1001)</f>
        <v>No</v>
      </c>
    </row>
    <row r="363" spans="1:16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9" t="str">
        <f>_xlfn.XLOOKUP(orders!C363,customers!$A$2:$A$1001,customers!$B$2:$B$1001)</f>
        <v>Nicko Corps</v>
      </c>
      <c r="G363" s="9" t="str">
        <f>IF(_xlfn.XLOOKUP(orders!C363,customers!$A$2:$A$1001,customers!$C$2:$C$1001,,,)=0,"",_xlfn.XLOOKUP(orders!C363,customers!$A$2:$A$1001,customers!$C$2:$C$1001,,,))</f>
        <v>ncorpsa0@gmpg.org</v>
      </c>
      <c r="H363" s="9" t="str">
        <f>_xlfn.XLOOKUP(C363,customers!$A$2:$A$1001,customers!$G$2:$G$1001,"")</f>
        <v>United States</v>
      </c>
      <c r="I363" s="10" t="str">
        <f>INDEX(products!$A$2:$G$49,MATCH(orders!$D363,products!$A$2:$A$49,0),MATCH(orders!I$1,products!$A$1:$G$1,0))</f>
        <v>Rob</v>
      </c>
      <c r="J363" s="10" t="str">
        <f>INDEX(products!$A$2:$G$49,MATCH(orders!$D363,products!$A$2:$A$49,0),MATCH(orders!J$1,products!$A$1:$G$1,0))</f>
        <v>M</v>
      </c>
      <c r="K363" s="11">
        <f>INDEX(products!$A$2:$G$49,MATCH(orders!$D363,products!$A$2:$A$49,0),MATCH(orders!K$1,products!$A$1:$G$1,0))</f>
        <v>0.5</v>
      </c>
      <c r="L363" s="12">
        <f>INDEX(products!$A$2:$G$49,MATCH(orders!$D363,products!$A$2:$A$49,0),MATCH(orders!L$1,products!$A$1:$G$1,0))</f>
        <v>5.97</v>
      </c>
      <c r="M363" s="12">
        <f t="shared" si="15"/>
        <v>5.97</v>
      </c>
      <c r="N363" s="10" t="str">
        <f t="shared" si="16"/>
        <v>Robusta</v>
      </c>
      <c r="O363" s="10" t="str">
        <f t="shared" si="17"/>
        <v>Medium</v>
      </c>
      <c r="P363" s="10" t="str">
        <f>_xlfn.XLOOKUP(Tableau1[[#This Row],[Customer ID]],customers!A$2:A$1001,customers!I$2:I$1001)</f>
        <v>No</v>
      </c>
    </row>
    <row r="364" spans="1:16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9" t="str">
        <f>_xlfn.XLOOKUP(orders!C364,customers!$A$2:$A$1001,customers!$B$2:$B$1001)</f>
        <v>Feliks Babber</v>
      </c>
      <c r="G364" s="9" t="str">
        <f>IF(_xlfn.XLOOKUP(orders!C364,customers!$A$2:$A$1001,customers!$C$2:$C$1001,,,)=0,"",_xlfn.XLOOKUP(orders!C364,customers!$A$2:$A$1001,customers!$C$2:$C$1001,,,))</f>
        <v>fbabbera2@stanford.edu</v>
      </c>
      <c r="H364" s="9" t="str">
        <f>_xlfn.XLOOKUP(C364,customers!$A$2:$A$1001,customers!$G$2:$G$1001,"")</f>
        <v>United States</v>
      </c>
      <c r="I364" s="10" t="str">
        <f>INDEX(products!$A$2:$G$49,MATCH(orders!$D364,products!$A$2:$A$49,0),MATCH(orders!I$1,products!$A$1:$G$1,0))</f>
        <v>Exc</v>
      </c>
      <c r="J364" s="10" t="str">
        <f>INDEX(products!$A$2:$G$49,MATCH(orders!$D364,products!$A$2:$A$49,0),MATCH(orders!J$1,products!$A$1:$G$1,0))</f>
        <v>L</v>
      </c>
      <c r="K364" s="11">
        <f>INDEX(products!$A$2:$G$49,MATCH(orders!$D364,products!$A$2:$A$49,0),MATCH(orders!K$1,products!$A$1:$G$1,0))</f>
        <v>1</v>
      </c>
      <c r="L364" s="12">
        <f>INDEX(products!$A$2:$G$49,MATCH(orders!$D364,products!$A$2:$A$49,0),MATCH(orders!L$1,products!$A$1:$G$1,0))</f>
        <v>14.85</v>
      </c>
      <c r="M364" s="12">
        <f t="shared" si="15"/>
        <v>74.25</v>
      </c>
      <c r="N364" s="10" t="str">
        <f t="shared" si="16"/>
        <v>Excelsa</v>
      </c>
      <c r="O364" s="10" t="str">
        <f t="shared" si="17"/>
        <v>Light</v>
      </c>
      <c r="P364" s="10" t="str">
        <f>_xlfn.XLOOKUP(Tableau1[[#This Row],[Customer ID]],customers!A$2:A$1001,customers!I$2:I$1001)</f>
        <v>Yes</v>
      </c>
    </row>
    <row r="365" spans="1:16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9" t="str">
        <f>_xlfn.XLOOKUP(orders!C365,customers!$A$2:$A$1001,customers!$B$2:$B$1001)</f>
        <v>Kaja Loxton</v>
      </c>
      <c r="G365" s="9" t="str">
        <f>IF(_xlfn.XLOOKUP(orders!C365,customers!$A$2:$A$1001,customers!$C$2:$C$1001,,,)=0,"",_xlfn.XLOOKUP(orders!C365,customers!$A$2:$A$1001,customers!$C$2:$C$1001,,,))</f>
        <v>kloxtona3@opensource.org</v>
      </c>
      <c r="H365" s="9" t="str">
        <f>_xlfn.XLOOKUP(C365,customers!$A$2:$A$1001,customers!$G$2:$G$1001,"")</f>
        <v>United States</v>
      </c>
      <c r="I365" s="10" t="str">
        <f>INDEX(products!$A$2:$G$49,MATCH(orders!$D365,products!$A$2:$A$49,0),MATCH(orders!I$1,products!$A$1:$G$1,0))</f>
        <v>Lib</v>
      </c>
      <c r="J365" s="10" t="str">
        <f>INDEX(products!$A$2:$G$49,MATCH(orders!$D365,products!$A$2:$A$49,0),MATCH(orders!J$1,products!$A$1:$G$1,0))</f>
        <v>M</v>
      </c>
      <c r="K365" s="11">
        <f>INDEX(products!$A$2:$G$49,MATCH(orders!$D365,products!$A$2:$A$49,0),MATCH(orders!K$1,products!$A$1:$G$1,0))</f>
        <v>1</v>
      </c>
      <c r="L365" s="12">
        <f>INDEX(products!$A$2:$G$49,MATCH(orders!$D365,products!$A$2:$A$49,0),MATCH(orders!L$1,products!$A$1:$G$1,0))</f>
        <v>14.55</v>
      </c>
      <c r="M365" s="12">
        <f t="shared" si="15"/>
        <v>87.300000000000011</v>
      </c>
      <c r="N365" s="10" t="str">
        <f t="shared" si="16"/>
        <v>Liberica</v>
      </c>
      <c r="O365" s="10" t="str">
        <f t="shared" si="17"/>
        <v>Medium</v>
      </c>
      <c r="P365" s="10" t="str">
        <f>_xlfn.XLOOKUP(Tableau1[[#This Row],[Customer ID]],customers!A$2:A$1001,customers!I$2:I$1001)</f>
        <v>No</v>
      </c>
    </row>
    <row r="366" spans="1:16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9" t="str">
        <f>_xlfn.XLOOKUP(orders!C366,customers!$A$2:$A$1001,customers!$B$2:$B$1001)</f>
        <v>Parker Tofful</v>
      </c>
      <c r="G366" s="9" t="str">
        <f>IF(_xlfn.XLOOKUP(orders!C366,customers!$A$2:$A$1001,customers!$C$2:$C$1001,,,)=0,"",_xlfn.XLOOKUP(orders!C366,customers!$A$2:$A$1001,customers!$C$2:$C$1001,,,))</f>
        <v>ptoffula4@posterous.com</v>
      </c>
      <c r="H366" s="9" t="str">
        <f>_xlfn.XLOOKUP(C366,customers!$A$2:$A$1001,customers!$G$2:$G$1001,"")</f>
        <v>United States</v>
      </c>
      <c r="I366" s="10" t="str">
        <f>INDEX(products!$A$2:$G$49,MATCH(orders!$D366,products!$A$2:$A$49,0),MATCH(orders!I$1,products!$A$1:$G$1,0))</f>
        <v>Exc</v>
      </c>
      <c r="J366" s="10" t="str">
        <f>INDEX(products!$A$2:$G$49,MATCH(orders!$D366,products!$A$2:$A$49,0),MATCH(orders!J$1,products!$A$1:$G$1,0))</f>
        <v>D</v>
      </c>
      <c r="K366" s="11">
        <f>INDEX(products!$A$2:$G$49,MATCH(orders!$D366,products!$A$2:$A$49,0),MATCH(orders!K$1,products!$A$1:$G$1,0))</f>
        <v>1</v>
      </c>
      <c r="L366" s="12">
        <f>INDEX(products!$A$2:$G$49,MATCH(orders!$D366,products!$A$2:$A$49,0),MATCH(orders!L$1,products!$A$1:$G$1,0))</f>
        <v>12.15</v>
      </c>
      <c r="M366" s="12">
        <f t="shared" si="15"/>
        <v>72.900000000000006</v>
      </c>
      <c r="N366" s="10" t="str">
        <f t="shared" si="16"/>
        <v>Excelsa</v>
      </c>
      <c r="O366" s="10" t="str">
        <f t="shared" si="17"/>
        <v>Dark</v>
      </c>
      <c r="P366" s="10" t="str">
        <f>_xlfn.XLOOKUP(Tableau1[[#This Row],[Customer ID]],customers!A$2:A$1001,customers!I$2:I$1001)</f>
        <v>Yes</v>
      </c>
    </row>
    <row r="367" spans="1:16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9" t="str">
        <f>_xlfn.XLOOKUP(orders!C367,customers!$A$2:$A$1001,customers!$B$2:$B$1001)</f>
        <v>Casi Gwinnett</v>
      </c>
      <c r="G367" s="9" t="str">
        <f>IF(_xlfn.XLOOKUP(orders!C367,customers!$A$2:$A$1001,customers!$C$2:$C$1001,,,)=0,"",_xlfn.XLOOKUP(orders!C367,customers!$A$2:$A$1001,customers!$C$2:$C$1001,,,))</f>
        <v>cgwinnetta5@behance.net</v>
      </c>
      <c r="H367" s="9" t="str">
        <f>_xlfn.XLOOKUP(C367,customers!$A$2:$A$1001,customers!$G$2:$G$1001,"")</f>
        <v>United States</v>
      </c>
      <c r="I367" s="10" t="str">
        <f>INDEX(products!$A$2:$G$49,MATCH(orders!$D367,products!$A$2:$A$49,0),MATCH(orders!I$1,products!$A$1:$G$1,0))</f>
        <v>Lib</v>
      </c>
      <c r="J367" s="10" t="str">
        <f>INDEX(products!$A$2:$G$49,MATCH(orders!$D367,products!$A$2:$A$49,0),MATCH(orders!J$1,products!$A$1:$G$1,0))</f>
        <v>D</v>
      </c>
      <c r="K367" s="11">
        <f>INDEX(products!$A$2:$G$49,MATCH(orders!$D367,products!$A$2:$A$49,0),MATCH(orders!K$1,products!$A$1:$G$1,0))</f>
        <v>0.5</v>
      </c>
      <c r="L367" s="12">
        <f>INDEX(products!$A$2:$G$49,MATCH(orders!$D367,products!$A$2:$A$49,0),MATCH(orders!L$1,products!$A$1:$G$1,0))</f>
        <v>7.77</v>
      </c>
      <c r="M367" s="12">
        <f t="shared" si="15"/>
        <v>7.77</v>
      </c>
      <c r="N367" s="10" t="str">
        <f t="shared" si="16"/>
        <v>Liberica</v>
      </c>
      <c r="O367" s="10" t="str">
        <f t="shared" si="17"/>
        <v>Dark</v>
      </c>
      <c r="P367" s="10" t="str">
        <f>_xlfn.XLOOKUP(Tableau1[[#This Row],[Customer ID]],customers!A$2:A$1001,customers!I$2:I$1001)</f>
        <v>No</v>
      </c>
    </row>
    <row r="368" spans="1:16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9" t="str">
        <f>_xlfn.XLOOKUP(orders!C368,customers!$A$2:$A$1001,customers!$B$2:$B$1001)</f>
        <v>Saree Ellesworth</v>
      </c>
      <c r="G368" s="9" t="str">
        <f>IF(_xlfn.XLOOKUP(orders!C368,customers!$A$2:$A$1001,customers!$C$2:$C$1001,,,)=0,"",_xlfn.XLOOKUP(orders!C368,customers!$A$2:$A$1001,customers!$C$2:$C$1001,,,))</f>
        <v/>
      </c>
      <c r="H368" s="9" t="str">
        <f>_xlfn.XLOOKUP(C368,customers!$A$2:$A$1001,customers!$G$2:$G$1001,"")</f>
        <v>United States</v>
      </c>
      <c r="I368" s="10" t="str">
        <f>INDEX(products!$A$2:$G$49,MATCH(orders!$D368,products!$A$2:$A$49,0),MATCH(orders!I$1,products!$A$1:$G$1,0))</f>
        <v>Exc</v>
      </c>
      <c r="J368" s="10" t="str">
        <f>INDEX(products!$A$2:$G$49,MATCH(orders!$D368,products!$A$2:$A$49,0),MATCH(orders!J$1,products!$A$1:$G$1,0))</f>
        <v>D</v>
      </c>
      <c r="K368" s="11">
        <f>INDEX(products!$A$2:$G$49,MATCH(orders!$D368,products!$A$2:$A$49,0),MATCH(orders!K$1,products!$A$1:$G$1,0))</f>
        <v>0.5</v>
      </c>
      <c r="L368" s="12">
        <f>INDEX(products!$A$2:$G$49,MATCH(orders!$D368,products!$A$2:$A$49,0),MATCH(orders!L$1,products!$A$1:$G$1,0))</f>
        <v>7.29</v>
      </c>
      <c r="M368" s="12">
        <f t="shared" si="15"/>
        <v>43.74</v>
      </c>
      <c r="N368" s="10" t="str">
        <f t="shared" si="16"/>
        <v>Excelsa</v>
      </c>
      <c r="O368" s="10" t="str">
        <f t="shared" si="17"/>
        <v>Dark</v>
      </c>
      <c r="P368" s="10" t="str">
        <f>_xlfn.XLOOKUP(Tableau1[[#This Row],[Customer ID]],customers!A$2:A$1001,customers!I$2:I$1001)</f>
        <v>No</v>
      </c>
    </row>
    <row r="369" spans="1:16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9" t="str">
        <f>_xlfn.XLOOKUP(orders!C369,customers!$A$2:$A$1001,customers!$B$2:$B$1001)</f>
        <v>Silvio Iorizzi</v>
      </c>
      <c r="G369" s="9" t="str">
        <f>IF(_xlfn.XLOOKUP(orders!C369,customers!$A$2:$A$1001,customers!$C$2:$C$1001,,,)=0,"",_xlfn.XLOOKUP(orders!C369,customers!$A$2:$A$1001,customers!$C$2:$C$1001,,,))</f>
        <v/>
      </c>
      <c r="H369" s="9" t="str">
        <f>_xlfn.XLOOKUP(C369,customers!$A$2:$A$1001,customers!$G$2:$G$1001,"")</f>
        <v>United States</v>
      </c>
      <c r="I369" s="10" t="str">
        <f>INDEX(products!$A$2:$G$49,MATCH(orders!$D369,products!$A$2:$A$49,0),MATCH(orders!I$1,products!$A$1:$G$1,0))</f>
        <v>Lib</v>
      </c>
      <c r="J369" s="10" t="str">
        <f>INDEX(products!$A$2:$G$49,MATCH(orders!$D369,products!$A$2:$A$49,0),MATCH(orders!J$1,products!$A$1:$G$1,0))</f>
        <v>M</v>
      </c>
      <c r="K369" s="11">
        <f>INDEX(products!$A$2:$G$49,MATCH(orders!$D369,products!$A$2:$A$49,0),MATCH(orders!K$1,products!$A$1:$G$1,0))</f>
        <v>0.2</v>
      </c>
      <c r="L369" s="12">
        <f>INDEX(products!$A$2:$G$49,MATCH(orders!$D369,products!$A$2:$A$49,0),MATCH(orders!L$1,products!$A$1:$G$1,0))</f>
        <v>4.3650000000000002</v>
      </c>
      <c r="M369" s="12">
        <f t="shared" si="15"/>
        <v>8.73</v>
      </c>
      <c r="N369" s="10" t="str">
        <f t="shared" si="16"/>
        <v>Liberica</v>
      </c>
      <c r="O369" s="10" t="str">
        <f t="shared" si="17"/>
        <v>Medium</v>
      </c>
      <c r="P369" s="10" t="str">
        <f>_xlfn.XLOOKUP(Tableau1[[#This Row],[Customer ID]],customers!A$2:A$1001,customers!I$2:I$1001)</f>
        <v>Yes</v>
      </c>
    </row>
    <row r="370" spans="1:16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9" t="str">
        <f>_xlfn.XLOOKUP(orders!C370,customers!$A$2:$A$1001,customers!$B$2:$B$1001)</f>
        <v>Leesa Flaonier</v>
      </c>
      <c r="G370" s="9" t="str">
        <f>IF(_xlfn.XLOOKUP(orders!C370,customers!$A$2:$A$1001,customers!$C$2:$C$1001,,,)=0,"",_xlfn.XLOOKUP(orders!C370,customers!$A$2:$A$1001,customers!$C$2:$C$1001,,,))</f>
        <v>lflaoniera8@wordpress.org</v>
      </c>
      <c r="H370" s="9" t="str">
        <f>_xlfn.XLOOKUP(C370,customers!$A$2:$A$1001,customers!$G$2:$G$1001,"")</f>
        <v>United States</v>
      </c>
      <c r="I370" s="10" t="str">
        <f>INDEX(products!$A$2:$G$49,MATCH(orders!$D370,products!$A$2:$A$49,0),MATCH(orders!I$1,products!$A$1:$G$1,0))</f>
        <v>Exc</v>
      </c>
      <c r="J370" s="10" t="str">
        <f>INDEX(products!$A$2:$G$49,MATCH(orders!$D370,products!$A$2:$A$49,0),MATCH(orders!J$1,products!$A$1:$G$1,0))</f>
        <v>M</v>
      </c>
      <c r="K370" s="11">
        <f>INDEX(products!$A$2:$G$49,MATCH(orders!$D370,products!$A$2:$A$49,0),MATCH(orders!K$1,products!$A$1:$G$1,0))</f>
        <v>2.5</v>
      </c>
      <c r="L370" s="12">
        <f>INDEX(products!$A$2:$G$49,MATCH(orders!$D370,products!$A$2:$A$49,0),MATCH(orders!L$1,products!$A$1:$G$1,0))</f>
        <v>31.624999999999996</v>
      </c>
      <c r="M370" s="12">
        <f t="shared" si="15"/>
        <v>63.249999999999993</v>
      </c>
      <c r="N370" s="10" t="str">
        <f t="shared" si="16"/>
        <v>Excelsa</v>
      </c>
      <c r="O370" s="10" t="str">
        <f t="shared" si="17"/>
        <v>Medium</v>
      </c>
      <c r="P370" s="10" t="str">
        <f>_xlfn.XLOOKUP(Tableau1[[#This Row],[Customer ID]],customers!A$2:A$1001,customers!I$2:I$1001)</f>
        <v>No</v>
      </c>
    </row>
    <row r="371" spans="1:16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9" t="str">
        <f>_xlfn.XLOOKUP(orders!C371,customers!$A$2:$A$1001,customers!$B$2:$B$1001)</f>
        <v>Abba Pummell</v>
      </c>
      <c r="G371" s="9" t="str">
        <f>IF(_xlfn.XLOOKUP(orders!C371,customers!$A$2:$A$1001,customers!$C$2:$C$1001,,,)=0,"",_xlfn.XLOOKUP(orders!C371,customers!$A$2:$A$1001,customers!$C$2:$C$1001,,,))</f>
        <v/>
      </c>
      <c r="H371" s="9" t="str">
        <f>_xlfn.XLOOKUP(C371,customers!$A$2:$A$1001,customers!$G$2:$G$1001,"")</f>
        <v>United States</v>
      </c>
      <c r="I371" s="10" t="str">
        <f>INDEX(products!$A$2:$G$49,MATCH(orders!$D371,products!$A$2:$A$49,0),MATCH(orders!I$1,products!$A$1:$G$1,0))</f>
        <v>Exc</v>
      </c>
      <c r="J371" s="10" t="str">
        <f>INDEX(products!$A$2:$G$49,MATCH(orders!$D371,products!$A$2:$A$49,0),MATCH(orders!J$1,products!$A$1:$G$1,0))</f>
        <v>L</v>
      </c>
      <c r="K371" s="11">
        <f>INDEX(products!$A$2:$G$49,MATCH(orders!$D371,products!$A$2:$A$49,0),MATCH(orders!K$1,products!$A$1:$G$1,0))</f>
        <v>0.5</v>
      </c>
      <c r="L371" s="12">
        <f>INDEX(products!$A$2:$G$49,MATCH(orders!$D371,products!$A$2:$A$49,0),MATCH(orders!L$1,products!$A$1:$G$1,0))</f>
        <v>8.91</v>
      </c>
      <c r="M371" s="12">
        <f t="shared" si="15"/>
        <v>8.91</v>
      </c>
      <c r="N371" s="10" t="str">
        <f t="shared" si="16"/>
        <v>Excelsa</v>
      </c>
      <c r="O371" s="10" t="str">
        <f t="shared" si="17"/>
        <v>Light</v>
      </c>
      <c r="P371" s="10" t="str">
        <f>_xlfn.XLOOKUP(Tableau1[[#This Row],[Customer ID]],customers!A$2:A$1001,customers!I$2:I$1001)</f>
        <v>Yes</v>
      </c>
    </row>
    <row r="372" spans="1:16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9" t="str">
        <f>_xlfn.XLOOKUP(orders!C372,customers!$A$2:$A$1001,customers!$B$2:$B$1001)</f>
        <v>Corinna Catcheside</v>
      </c>
      <c r="G372" s="9" t="str">
        <f>IF(_xlfn.XLOOKUP(orders!C372,customers!$A$2:$A$1001,customers!$C$2:$C$1001,,,)=0,"",_xlfn.XLOOKUP(orders!C372,customers!$A$2:$A$1001,customers!$C$2:$C$1001,,,))</f>
        <v>ccatchesideaa@macromedia.com</v>
      </c>
      <c r="H372" s="9" t="str">
        <f>_xlfn.XLOOKUP(C372,customers!$A$2:$A$1001,customers!$G$2:$G$1001,"")</f>
        <v>United States</v>
      </c>
      <c r="I372" s="10" t="str">
        <f>INDEX(products!$A$2:$G$49,MATCH(orders!$D372,products!$A$2:$A$49,0),MATCH(orders!I$1,products!$A$1:$G$1,0))</f>
        <v>Exc</v>
      </c>
      <c r="J372" s="10" t="str">
        <f>INDEX(products!$A$2:$G$49,MATCH(orders!$D372,products!$A$2:$A$49,0),MATCH(orders!J$1,products!$A$1:$G$1,0))</f>
        <v>D</v>
      </c>
      <c r="K372" s="11">
        <f>INDEX(products!$A$2:$G$49,MATCH(orders!$D372,products!$A$2:$A$49,0),MATCH(orders!K$1,products!$A$1:$G$1,0))</f>
        <v>1</v>
      </c>
      <c r="L372" s="12">
        <f>INDEX(products!$A$2:$G$49,MATCH(orders!$D372,products!$A$2:$A$49,0),MATCH(orders!L$1,products!$A$1:$G$1,0))</f>
        <v>12.15</v>
      </c>
      <c r="M372" s="12">
        <f t="shared" si="15"/>
        <v>24.3</v>
      </c>
      <c r="N372" s="10" t="str">
        <f t="shared" si="16"/>
        <v>Excelsa</v>
      </c>
      <c r="O372" s="10" t="str">
        <f t="shared" si="17"/>
        <v>Dark</v>
      </c>
      <c r="P372" s="10" t="str">
        <f>_xlfn.XLOOKUP(Tableau1[[#This Row],[Customer ID]],customers!A$2:A$1001,customers!I$2:I$1001)</f>
        <v>Yes</v>
      </c>
    </row>
    <row r="373" spans="1:16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9" t="str">
        <f>_xlfn.XLOOKUP(orders!C373,customers!$A$2:$A$1001,customers!$B$2:$B$1001)</f>
        <v>Cortney Gibbonson</v>
      </c>
      <c r="G373" s="9" t="str">
        <f>IF(_xlfn.XLOOKUP(orders!C373,customers!$A$2:$A$1001,customers!$C$2:$C$1001,,,)=0,"",_xlfn.XLOOKUP(orders!C373,customers!$A$2:$A$1001,customers!$C$2:$C$1001,,,))</f>
        <v>cgibbonsonab@accuweather.com</v>
      </c>
      <c r="H373" s="9" t="str">
        <f>_xlfn.XLOOKUP(C373,customers!$A$2:$A$1001,customers!$G$2:$G$1001,"")</f>
        <v>United States</v>
      </c>
      <c r="I373" s="10" t="str">
        <f>INDEX(products!$A$2:$G$49,MATCH(orders!$D373,products!$A$2:$A$49,0),MATCH(orders!I$1,products!$A$1:$G$1,0))</f>
        <v>Ara</v>
      </c>
      <c r="J373" s="10" t="str">
        <f>INDEX(products!$A$2:$G$49,MATCH(orders!$D373,products!$A$2:$A$49,0),MATCH(orders!J$1,products!$A$1:$G$1,0))</f>
        <v>L</v>
      </c>
      <c r="K373" s="11">
        <f>INDEX(products!$A$2:$G$49,MATCH(orders!$D373,products!$A$2:$A$49,0),MATCH(orders!K$1,products!$A$1:$G$1,0))</f>
        <v>0.5</v>
      </c>
      <c r="L373" s="12">
        <f>INDEX(products!$A$2:$G$49,MATCH(orders!$D373,products!$A$2:$A$49,0),MATCH(orders!L$1,products!$A$1:$G$1,0))</f>
        <v>7.77</v>
      </c>
      <c r="M373" s="12">
        <f t="shared" si="15"/>
        <v>46.62</v>
      </c>
      <c r="N373" s="10" t="str">
        <f t="shared" si="16"/>
        <v>Arabica</v>
      </c>
      <c r="O373" s="10" t="str">
        <f t="shared" si="17"/>
        <v>Light</v>
      </c>
      <c r="P373" s="10" t="str">
        <f>_xlfn.XLOOKUP(Tableau1[[#This Row],[Customer ID]],customers!A$2:A$1001,customers!I$2:I$1001)</f>
        <v>Yes</v>
      </c>
    </row>
    <row r="374" spans="1:16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9" t="str">
        <f>_xlfn.XLOOKUP(orders!C374,customers!$A$2:$A$1001,customers!$B$2:$B$1001)</f>
        <v>Terri Farra</v>
      </c>
      <c r="G374" s="9" t="str">
        <f>IF(_xlfn.XLOOKUP(orders!C374,customers!$A$2:$A$1001,customers!$C$2:$C$1001,,,)=0,"",_xlfn.XLOOKUP(orders!C374,customers!$A$2:$A$1001,customers!$C$2:$C$1001,,,))</f>
        <v>tfarraac@behance.net</v>
      </c>
      <c r="H374" s="9" t="str">
        <f>_xlfn.XLOOKUP(C374,customers!$A$2:$A$1001,customers!$G$2:$G$1001,"")</f>
        <v>United States</v>
      </c>
      <c r="I374" s="10" t="str">
        <f>INDEX(products!$A$2:$G$49,MATCH(orders!$D374,products!$A$2:$A$49,0),MATCH(orders!I$1,products!$A$1:$G$1,0))</f>
        <v>Rob</v>
      </c>
      <c r="J374" s="10" t="str">
        <f>INDEX(products!$A$2:$G$49,MATCH(orders!$D374,products!$A$2:$A$49,0),MATCH(orders!J$1,products!$A$1:$G$1,0))</f>
        <v>L</v>
      </c>
      <c r="K374" s="11">
        <f>INDEX(products!$A$2:$G$49,MATCH(orders!$D374,products!$A$2:$A$49,0),MATCH(orders!K$1,products!$A$1:$G$1,0))</f>
        <v>0.5</v>
      </c>
      <c r="L374" s="12">
        <f>INDEX(products!$A$2:$G$49,MATCH(orders!$D374,products!$A$2:$A$49,0),MATCH(orders!L$1,products!$A$1:$G$1,0))</f>
        <v>7.169999999999999</v>
      </c>
      <c r="M374" s="12">
        <f t="shared" si="15"/>
        <v>43.019999999999996</v>
      </c>
      <c r="N374" s="10" t="str">
        <f t="shared" si="16"/>
        <v>Robusta</v>
      </c>
      <c r="O374" s="10" t="str">
        <f t="shared" si="17"/>
        <v>Light</v>
      </c>
      <c r="P374" s="10" t="str">
        <f>_xlfn.XLOOKUP(Tableau1[[#This Row],[Customer ID]],customers!A$2:A$1001,customers!I$2:I$1001)</f>
        <v>No</v>
      </c>
    </row>
    <row r="375" spans="1:16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9" t="str">
        <f>_xlfn.XLOOKUP(orders!C375,customers!$A$2:$A$1001,customers!$B$2:$B$1001)</f>
        <v>Corney Curme</v>
      </c>
      <c r="G375" s="9" t="str">
        <f>IF(_xlfn.XLOOKUP(orders!C375,customers!$A$2:$A$1001,customers!$C$2:$C$1001,,,)=0,"",_xlfn.XLOOKUP(orders!C375,customers!$A$2:$A$1001,customers!$C$2:$C$1001,,,))</f>
        <v/>
      </c>
      <c r="H375" s="9" t="str">
        <f>_xlfn.XLOOKUP(C375,customers!$A$2:$A$1001,customers!$G$2:$G$1001,"")</f>
        <v>Ireland</v>
      </c>
      <c r="I375" s="10" t="str">
        <f>INDEX(products!$A$2:$G$49,MATCH(orders!$D375,products!$A$2:$A$49,0),MATCH(orders!I$1,products!$A$1:$G$1,0))</f>
        <v>Ara</v>
      </c>
      <c r="J375" s="10" t="str">
        <f>INDEX(products!$A$2:$G$49,MATCH(orders!$D375,products!$A$2:$A$49,0),MATCH(orders!J$1,products!$A$1:$G$1,0))</f>
        <v>D</v>
      </c>
      <c r="K375" s="11">
        <f>INDEX(products!$A$2:$G$49,MATCH(orders!$D375,products!$A$2:$A$49,0),MATCH(orders!K$1,products!$A$1:$G$1,0))</f>
        <v>0.5</v>
      </c>
      <c r="L375" s="12">
        <f>INDEX(products!$A$2:$G$49,MATCH(orders!$D375,products!$A$2:$A$49,0),MATCH(orders!L$1,products!$A$1:$G$1,0))</f>
        <v>5.97</v>
      </c>
      <c r="M375" s="12">
        <f t="shared" si="15"/>
        <v>17.91</v>
      </c>
      <c r="N375" s="10" t="str">
        <f t="shared" si="16"/>
        <v>Arabica</v>
      </c>
      <c r="O375" s="10" t="str">
        <f t="shared" si="17"/>
        <v>Dark</v>
      </c>
      <c r="P375" s="10" t="str">
        <f>_xlfn.XLOOKUP(Tableau1[[#This Row],[Customer ID]],customers!A$2:A$1001,customers!I$2:I$1001)</f>
        <v>Yes</v>
      </c>
    </row>
    <row r="376" spans="1:16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9" t="str">
        <f>_xlfn.XLOOKUP(orders!C376,customers!$A$2:$A$1001,customers!$B$2:$B$1001)</f>
        <v>Gothart Bamfield</v>
      </c>
      <c r="G376" s="9" t="str">
        <f>IF(_xlfn.XLOOKUP(orders!C376,customers!$A$2:$A$1001,customers!$C$2:$C$1001,,,)=0,"",_xlfn.XLOOKUP(orders!C376,customers!$A$2:$A$1001,customers!$C$2:$C$1001,,,))</f>
        <v>gbamfieldae@yellowpages.com</v>
      </c>
      <c r="H376" s="9" t="str">
        <f>_xlfn.XLOOKUP(C376,customers!$A$2:$A$1001,customers!$G$2:$G$1001,"")</f>
        <v>United States</v>
      </c>
      <c r="I376" s="10" t="str">
        <f>INDEX(products!$A$2:$G$49,MATCH(orders!$D376,products!$A$2:$A$49,0),MATCH(orders!I$1,products!$A$1:$G$1,0))</f>
        <v>Lib</v>
      </c>
      <c r="J376" s="10" t="str">
        <f>INDEX(products!$A$2:$G$49,MATCH(orders!$D376,products!$A$2:$A$49,0),MATCH(orders!J$1,products!$A$1:$G$1,0))</f>
        <v>L</v>
      </c>
      <c r="K376" s="11">
        <f>INDEX(products!$A$2:$G$49,MATCH(orders!$D376,products!$A$2:$A$49,0),MATCH(orders!K$1,products!$A$1:$G$1,0))</f>
        <v>0.5</v>
      </c>
      <c r="L376" s="12">
        <f>INDEX(products!$A$2:$G$49,MATCH(orders!$D376,products!$A$2:$A$49,0),MATCH(orders!L$1,products!$A$1:$G$1,0))</f>
        <v>9.51</v>
      </c>
      <c r="M376" s="12">
        <f t="shared" si="15"/>
        <v>38.04</v>
      </c>
      <c r="N376" s="10" t="str">
        <f t="shared" si="16"/>
        <v>Liberica</v>
      </c>
      <c r="O376" s="10" t="str">
        <f t="shared" si="17"/>
        <v>Light</v>
      </c>
      <c r="P376" s="10" t="str">
        <f>_xlfn.XLOOKUP(Tableau1[[#This Row],[Customer ID]],customers!A$2:A$1001,customers!I$2:I$1001)</f>
        <v>Yes</v>
      </c>
    </row>
    <row r="377" spans="1:16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9" t="str">
        <f>_xlfn.XLOOKUP(orders!C377,customers!$A$2:$A$1001,customers!$B$2:$B$1001)</f>
        <v>Waylin Hollingdale</v>
      </c>
      <c r="G377" s="9" t="str">
        <f>IF(_xlfn.XLOOKUP(orders!C377,customers!$A$2:$A$1001,customers!$C$2:$C$1001,,,)=0,"",_xlfn.XLOOKUP(orders!C377,customers!$A$2:$A$1001,customers!$C$2:$C$1001,,,))</f>
        <v>whollingdaleaf@about.me</v>
      </c>
      <c r="H377" s="9" t="str">
        <f>_xlfn.XLOOKUP(C377,customers!$A$2:$A$1001,customers!$G$2:$G$1001,"")</f>
        <v>United States</v>
      </c>
      <c r="I377" s="10" t="str">
        <f>INDEX(products!$A$2:$G$49,MATCH(orders!$D377,products!$A$2:$A$49,0),MATCH(orders!I$1,products!$A$1:$G$1,0))</f>
        <v>Ara</v>
      </c>
      <c r="J377" s="10" t="str">
        <f>INDEX(products!$A$2:$G$49,MATCH(orders!$D377,products!$A$2:$A$49,0),MATCH(orders!J$1,products!$A$1:$G$1,0))</f>
        <v>M</v>
      </c>
      <c r="K377" s="11">
        <f>INDEX(products!$A$2:$G$49,MATCH(orders!$D377,products!$A$2:$A$49,0),MATCH(orders!K$1,products!$A$1:$G$1,0))</f>
        <v>0.2</v>
      </c>
      <c r="L377" s="12">
        <f>INDEX(products!$A$2:$G$49,MATCH(orders!$D377,products!$A$2:$A$49,0),MATCH(orders!L$1,products!$A$1:$G$1,0))</f>
        <v>3.375</v>
      </c>
      <c r="M377" s="12">
        <f t="shared" si="15"/>
        <v>6.75</v>
      </c>
      <c r="N377" s="10" t="str">
        <f t="shared" si="16"/>
        <v>Arabica</v>
      </c>
      <c r="O377" s="10" t="str">
        <f t="shared" si="17"/>
        <v>Medium</v>
      </c>
      <c r="P377" s="10" t="str">
        <f>_xlfn.XLOOKUP(Tableau1[[#This Row],[Customer ID]],customers!A$2:A$1001,customers!I$2:I$1001)</f>
        <v>Yes</v>
      </c>
    </row>
    <row r="378" spans="1:16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9" t="str">
        <f>_xlfn.XLOOKUP(orders!C378,customers!$A$2:$A$1001,customers!$B$2:$B$1001)</f>
        <v>Judd De Leek</v>
      </c>
      <c r="G378" s="9" t="str">
        <f>IF(_xlfn.XLOOKUP(orders!C378,customers!$A$2:$A$1001,customers!$C$2:$C$1001,,,)=0,"",_xlfn.XLOOKUP(orders!C378,customers!$A$2:$A$1001,customers!$C$2:$C$1001,,,))</f>
        <v>jdeag@xrea.com</v>
      </c>
      <c r="H378" s="9" t="str">
        <f>_xlfn.XLOOKUP(C378,customers!$A$2:$A$1001,customers!$G$2:$G$1001,"")</f>
        <v>United States</v>
      </c>
      <c r="I378" s="10" t="str">
        <f>INDEX(products!$A$2:$G$49,MATCH(orders!$D378,products!$A$2:$A$49,0),MATCH(orders!I$1,products!$A$1:$G$1,0))</f>
        <v>Rob</v>
      </c>
      <c r="J378" s="10" t="str">
        <f>INDEX(products!$A$2:$G$49,MATCH(orders!$D378,products!$A$2:$A$49,0),MATCH(orders!J$1,products!$A$1:$G$1,0))</f>
        <v>M</v>
      </c>
      <c r="K378" s="11">
        <f>INDEX(products!$A$2:$G$49,MATCH(orders!$D378,products!$A$2:$A$49,0),MATCH(orders!K$1,products!$A$1:$G$1,0))</f>
        <v>0.5</v>
      </c>
      <c r="L378" s="12">
        <f>INDEX(products!$A$2:$G$49,MATCH(orders!$D378,products!$A$2:$A$49,0),MATCH(orders!L$1,products!$A$1:$G$1,0))</f>
        <v>5.97</v>
      </c>
      <c r="M378" s="12">
        <f t="shared" si="15"/>
        <v>5.97</v>
      </c>
      <c r="N378" s="10" t="str">
        <f t="shared" si="16"/>
        <v>Robusta</v>
      </c>
      <c r="O378" s="10" t="str">
        <f t="shared" si="17"/>
        <v>Medium</v>
      </c>
      <c r="P378" s="10" t="str">
        <f>_xlfn.XLOOKUP(Tableau1[[#This Row],[Customer ID]],customers!A$2:A$1001,customers!I$2:I$1001)</f>
        <v>Yes</v>
      </c>
    </row>
    <row r="379" spans="1:16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9" t="str">
        <f>_xlfn.XLOOKUP(orders!C379,customers!$A$2:$A$1001,customers!$B$2:$B$1001)</f>
        <v>Vanya Skullet</v>
      </c>
      <c r="G379" s="9" t="str">
        <f>IF(_xlfn.XLOOKUP(orders!C379,customers!$A$2:$A$1001,customers!$C$2:$C$1001,,,)=0,"",_xlfn.XLOOKUP(orders!C379,customers!$A$2:$A$1001,customers!$C$2:$C$1001,,,))</f>
        <v>vskulletah@tinyurl.com</v>
      </c>
      <c r="H379" s="9" t="str">
        <f>_xlfn.XLOOKUP(C379,customers!$A$2:$A$1001,customers!$G$2:$G$1001,"")</f>
        <v>Ireland</v>
      </c>
      <c r="I379" s="10" t="str">
        <f>INDEX(products!$A$2:$G$49,MATCH(orders!$D379,products!$A$2:$A$49,0),MATCH(orders!I$1,products!$A$1:$G$1,0))</f>
        <v>Rob</v>
      </c>
      <c r="J379" s="10" t="str">
        <f>INDEX(products!$A$2:$G$49,MATCH(orders!$D379,products!$A$2:$A$49,0),MATCH(orders!J$1,products!$A$1:$G$1,0))</f>
        <v>D</v>
      </c>
      <c r="K379" s="11">
        <f>INDEX(products!$A$2:$G$49,MATCH(orders!$D379,products!$A$2:$A$49,0),MATCH(orders!K$1,products!$A$1:$G$1,0))</f>
        <v>0.2</v>
      </c>
      <c r="L379" s="12">
        <f>INDEX(products!$A$2:$G$49,MATCH(orders!$D379,products!$A$2:$A$49,0),MATCH(orders!L$1,products!$A$1:$G$1,0))</f>
        <v>2.6849999999999996</v>
      </c>
      <c r="M379" s="12">
        <f t="shared" si="15"/>
        <v>8.0549999999999997</v>
      </c>
      <c r="N379" s="10" t="str">
        <f t="shared" si="16"/>
        <v>Robusta</v>
      </c>
      <c r="O379" s="10" t="str">
        <f t="shared" si="17"/>
        <v>Dark</v>
      </c>
      <c r="P379" s="10" t="str">
        <f>_xlfn.XLOOKUP(Tableau1[[#This Row],[Customer ID]],customers!A$2:A$1001,customers!I$2:I$1001)</f>
        <v>No</v>
      </c>
    </row>
    <row r="380" spans="1:16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9" t="str">
        <f>_xlfn.XLOOKUP(orders!C380,customers!$A$2:$A$1001,customers!$B$2:$B$1001)</f>
        <v>Jany Rudeforth</v>
      </c>
      <c r="G380" s="9" t="str">
        <f>IF(_xlfn.XLOOKUP(orders!C380,customers!$A$2:$A$1001,customers!$C$2:$C$1001,,,)=0,"",_xlfn.XLOOKUP(orders!C380,customers!$A$2:$A$1001,customers!$C$2:$C$1001,,,))</f>
        <v>jrudeforthai@wunderground.com</v>
      </c>
      <c r="H380" s="9" t="str">
        <f>_xlfn.XLOOKUP(C380,customers!$A$2:$A$1001,customers!$G$2:$G$1001,"")</f>
        <v>Ireland</v>
      </c>
      <c r="I380" s="10" t="str">
        <f>INDEX(products!$A$2:$G$49,MATCH(orders!$D380,products!$A$2:$A$49,0),MATCH(orders!I$1,products!$A$1:$G$1,0))</f>
        <v>Ara</v>
      </c>
      <c r="J380" s="10" t="str">
        <f>INDEX(products!$A$2:$G$49,MATCH(orders!$D380,products!$A$2:$A$49,0),MATCH(orders!J$1,products!$A$1:$G$1,0))</f>
        <v>L</v>
      </c>
      <c r="K380" s="11">
        <f>INDEX(products!$A$2:$G$49,MATCH(orders!$D380,products!$A$2:$A$49,0),MATCH(orders!K$1,products!$A$1:$G$1,0))</f>
        <v>0.5</v>
      </c>
      <c r="L380" s="12">
        <f>INDEX(products!$A$2:$G$49,MATCH(orders!$D380,products!$A$2:$A$49,0),MATCH(orders!L$1,products!$A$1:$G$1,0))</f>
        <v>7.77</v>
      </c>
      <c r="M380" s="12">
        <f t="shared" si="15"/>
        <v>23.31</v>
      </c>
      <c r="N380" s="10" t="str">
        <f t="shared" si="16"/>
        <v>Arabica</v>
      </c>
      <c r="O380" s="10" t="str">
        <f t="shared" si="17"/>
        <v>Light</v>
      </c>
      <c r="P380" s="10" t="str">
        <f>_xlfn.XLOOKUP(Tableau1[[#This Row],[Customer ID]],customers!A$2:A$1001,customers!I$2:I$1001)</f>
        <v>Yes</v>
      </c>
    </row>
    <row r="381" spans="1:16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9" t="str">
        <f>_xlfn.XLOOKUP(orders!C381,customers!$A$2:$A$1001,customers!$B$2:$B$1001)</f>
        <v>Ashbey Tomaszewski</v>
      </c>
      <c r="G381" s="9" t="str">
        <f>IF(_xlfn.XLOOKUP(orders!C381,customers!$A$2:$A$1001,customers!$C$2:$C$1001,,,)=0,"",_xlfn.XLOOKUP(orders!C381,customers!$A$2:$A$1001,customers!$C$2:$C$1001,,,))</f>
        <v>atomaszewskiaj@answers.com</v>
      </c>
      <c r="H381" s="9" t="str">
        <f>_xlfn.XLOOKUP(C381,customers!$A$2:$A$1001,customers!$G$2:$G$1001,"")</f>
        <v>United Kingdom</v>
      </c>
      <c r="I381" s="10" t="str">
        <f>INDEX(products!$A$2:$G$49,MATCH(orders!$D381,products!$A$2:$A$49,0),MATCH(orders!I$1,products!$A$1:$G$1,0))</f>
        <v>Rob</v>
      </c>
      <c r="J381" s="10" t="str">
        <f>INDEX(products!$A$2:$G$49,MATCH(orders!$D381,products!$A$2:$A$49,0),MATCH(orders!J$1,products!$A$1:$G$1,0))</f>
        <v>L</v>
      </c>
      <c r="K381" s="11">
        <f>INDEX(products!$A$2:$G$49,MATCH(orders!$D381,products!$A$2:$A$49,0),MATCH(orders!K$1,products!$A$1:$G$1,0))</f>
        <v>0.5</v>
      </c>
      <c r="L381" s="12">
        <f>INDEX(products!$A$2:$G$49,MATCH(orders!$D381,products!$A$2:$A$49,0),MATCH(orders!L$1,products!$A$1:$G$1,0))</f>
        <v>7.169999999999999</v>
      </c>
      <c r="M381" s="12">
        <f t="shared" si="15"/>
        <v>43.019999999999996</v>
      </c>
      <c r="N381" s="10" t="str">
        <f t="shared" si="16"/>
        <v>Robusta</v>
      </c>
      <c r="O381" s="10" t="str">
        <f t="shared" si="17"/>
        <v>Light</v>
      </c>
      <c r="P381" s="10" t="str">
        <f>_xlfn.XLOOKUP(Tableau1[[#This Row],[Customer ID]],customers!A$2:A$1001,customers!I$2:I$1001)</f>
        <v>Yes</v>
      </c>
    </row>
    <row r="382" spans="1:16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9" t="str">
        <f>_xlfn.XLOOKUP(orders!C382,customers!$A$2:$A$1001,customers!$B$2:$B$1001)</f>
        <v>Flynn Antony</v>
      </c>
      <c r="G382" s="9" t="str">
        <f>IF(_xlfn.XLOOKUP(orders!C382,customers!$A$2:$A$1001,customers!$C$2:$C$1001,,,)=0,"",_xlfn.XLOOKUP(orders!C382,customers!$A$2:$A$1001,customers!$C$2:$C$1001,,,))</f>
        <v/>
      </c>
      <c r="H382" s="9" t="str">
        <f>_xlfn.XLOOKUP(C382,customers!$A$2:$A$1001,customers!$G$2:$G$1001,"")</f>
        <v>United States</v>
      </c>
      <c r="I382" s="10" t="str">
        <f>INDEX(products!$A$2:$G$49,MATCH(orders!$D382,products!$A$2:$A$49,0),MATCH(orders!I$1,products!$A$1:$G$1,0))</f>
        <v>Lib</v>
      </c>
      <c r="J382" s="10" t="str">
        <f>INDEX(products!$A$2:$G$49,MATCH(orders!$D382,products!$A$2:$A$49,0),MATCH(orders!J$1,products!$A$1:$G$1,0))</f>
        <v>D</v>
      </c>
      <c r="K382" s="11">
        <f>INDEX(products!$A$2:$G$49,MATCH(orders!$D382,products!$A$2:$A$49,0),MATCH(orders!K$1,products!$A$1:$G$1,0))</f>
        <v>0.5</v>
      </c>
      <c r="L382" s="12">
        <f>INDEX(products!$A$2:$G$49,MATCH(orders!$D382,products!$A$2:$A$49,0),MATCH(orders!L$1,products!$A$1:$G$1,0))</f>
        <v>7.77</v>
      </c>
      <c r="M382" s="12">
        <f t="shared" si="15"/>
        <v>23.31</v>
      </c>
      <c r="N382" s="10" t="str">
        <f t="shared" si="16"/>
        <v>Liberica</v>
      </c>
      <c r="O382" s="10" t="str">
        <f t="shared" si="17"/>
        <v>Dark</v>
      </c>
      <c r="P382" s="10" t="str">
        <f>_xlfn.XLOOKUP(Tableau1[[#This Row],[Customer ID]],customers!A$2:A$1001,customers!I$2:I$1001)</f>
        <v>No</v>
      </c>
    </row>
    <row r="383" spans="1:16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9" t="str">
        <f>_xlfn.XLOOKUP(orders!C383,customers!$A$2:$A$1001,customers!$B$2:$B$1001)</f>
        <v>Pren Bess</v>
      </c>
      <c r="G383" s="9" t="str">
        <f>IF(_xlfn.XLOOKUP(orders!C383,customers!$A$2:$A$1001,customers!$C$2:$C$1001,,,)=0,"",_xlfn.XLOOKUP(orders!C383,customers!$A$2:$A$1001,customers!$C$2:$C$1001,,,))</f>
        <v>pbessal@qq.com</v>
      </c>
      <c r="H383" s="9" t="str">
        <f>_xlfn.XLOOKUP(C383,customers!$A$2:$A$1001,customers!$G$2:$G$1001,"")</f>
        <v>United States</v>
      </c>
      <c r="I383" s="10" t="str">
        <f>INDEX(products!$A$2:$G$49,MATCH(orders!$D383,products!$A$2:$A$49,0),MATCH(orders!I$1,products!$A$1:$G$1,0))</f>
        <v>Ara</v>
      </c>
      <c r="J383" s="10" t="str">
        <f>INDEX(products!$A$2:$G$49,MATCH(orders!$D383,products!$A$2:$A$49,0),MATCH(orders!J$1,products!$A$1:$G$1,0))</f>
        <v>D</v>
      </c>
      <c r="K383" s="11">
        <f>INDEX(products!$A$2:$G$49,MATCH(orders!$D383,products!$A$2:$A$49,0),MATCH(orders!K$1,products!$A$1:$G$1,0))</f>
        <v>0.2</v>
      </c>
      <c r="L383" s="12">
        <f>INDEX(products!$A$2:$G$49,MATCH(orders!$D383,products!$A$2:$A$49,0),MATCH(orders!L$1,products!$A$1:$G$1,0))</f>
        <v>2.9849999999999999</v>
      </c>
      <c r="M383" s="12">
        <f t="shared" si="15"/>
        <v>14.924999999999999</v>
      </c>
      <c r="N383" s="10" t="str">
        <f t="shared" si="16"/>
        <v>Arabica</v>
      </c>
      <c r="O383" s="10" t="str">
        <f t="shared" si="17"/>
        <v>Dark</v>
      </c>
      <c r="P383" s="10" t="str">
        <f>_xlfn.XLOOKUP(Tableau1[[#This Row],[Customer ID]],customers!A$2:A$1001,customers!I$2:I$1001)</f>
        <v>Yes</v>
      </c>
    </row>
    <row r="384" spans="1:16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9" t="str">
        <f>_xlfn.XLOOKUP(orders!C384,customers!$A$2:$A$1001,customers!$B$2:$B$1001)</f>
        <v>Elka Windress</v>
      </c>
      <c r="G384" s="9" t="str">
        <f>IF(_xlfn.XLOOKUP(orders!C384,customers!$A$2:$A$1001,customers!$C$2:$C$1001,,,)=0,"",_xlfn.XLOOKUP(orders!C384,customers!$A$2:$A$1001,customers!$C$2:$C$1001,,,))</f>
        <v>ewindressam@marketwatch.com</v>
      </c>
      <c r="H384" s="9" t="str">
        <f>_xlfn.XLOOKUP(C384,customers!$A$2:$A$1001,customers!$G$2:$G$1001,"")</f>
        <v>United States</v>
      </c>
      <c r="I384" s="10" t="str">
        <f>INDEX(products!$A$2:$G$49,MATCH(orders!$D384,products!$A$2:$A$49,0),MATCH(orders!I$1,products!$A$1:$G$1,0))</f>
        <v>Exc</v>
      </c>
      <c r="J384" s="10" t="str">
        <f>INDEX(products!$A$2:$G$49,MATCH(orders!$D384,products!$A$2:$A$49,0),MATCH(orders!J$1,products!$A$1:$G$1,0))</f>
        <v>D</v>
      </c>
      <c r="K384" s="11">
        <f>INDEX(products!$A$2:$G$49,MATCH(orders!$D384,products!$A$2:$A$49,0),MATCH(orders!K$1,products!$A$1:$G$1,0))</f>
        <v>0.5</v>
      </c>
      <c r="L384" s="12">
        <f>INDEX(products!$A$2:$G$49,MATCH(orders!$D384,products!$A$2:$A$49,0),MATCH(orders!L$1,products!$A$1:$G$1,0))</f>
        <v>7.29</v>
      </c>
      <c r="M384" s="12">
        <f t="shared" si="15"/>
        <v>21.87</v>
      </c>
      <c r="N384" s="10" t="str">
        <f t="shared" si="16"/>
        <v>Excelsa</v>
      </c>
      <c r="O384" s="10" t="str">
        <f t="shared" si="17"/>
        <v>Dark</v>
      </c>
      <c r="P384" s="10" t="str">
        <f>_xlfn.XLOOKUP(Tableau1[[#This Row],[Customer ID]],customers!A$2:A$1001,customers!I$2:I$1001)</f>
        <v>No</v>
      </c>
    </row>
    <row r="385" spans="1:16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9" t="str">
        <f>_xlfn.XLOOKUP(orders!C385,customers!$A$2:$A$1001,customers!$B$2:$B$1001)</f>
        <v>Marty Kidstoun</v>
      </c>
      <c r="G385" s="9" t="str">
        <f>IF(_xlfn.XLOOKUP(orders!C385,customers!$A$2:$A$1001,customers!$C$2:$C$1001,,,)=0,"",_xlfn.XLOOKUP(orders!C385,customers!$A$2:$A$1001,customers!$C$2:$C$1001,,,))</f>
        <v/>
      </c>
      <c r="H385" s="9" t="str">
        <f>_xlfn.XLOOKUP(C385,customers!$A$2:$A$1001,customers!$G$2:$G$1001,"")</f>
        <v>United States</v>
      </c>
      <c r="I385" s="10" t="str">
        <f>INDEX(products!$A$2:$G$49,MATCH(orders!$D385,products!$A$2:$A$49,0),MATCH(orders!I$1,products!$A$1:$G$1,0))</f>
        <v>Exc</v>
      </c>
      <c r="J385" s="10" t="str">
        <f>INDEX(products!$A$2:$G$49,MATCH(orders!$D385,products!$A$2:$A$49,0),MATCH(orders!J$1,products!$A$1:$G$1,0))</f>
        <v>L</v>
      </c>
      <c r="K385" s="11">
        <f>INDEX(products!$A$2:$G$49,MATCH(orders!$D385,products!$A$2:$A$49,0),MATCH(orders!K$1,products!$A$1:$G$1,0))</f>
        <v>0.5</v>
      </c>
      <c r="L385" s="12">
        <f>INDEX(products!$A$2:$G$49,MATCH(orders!$D385,products!$A$2:$A$49,0),MATCH(orders!L$1,products!$A$1:$G$1,0))</f>
        <v>8.91</v>
      </c>
      <c r="M385" s="12">
        <f t="shared" si="15"/>
        <v>53.46</v>
      </c>
      <c r="N385" s="10" t="str">
        <f t="shared" si="16"/>
        <v>Excelsa</v>
      </c>
      <c r="O385" s="10" t="str">
        <f t="shared" si="17"/>
        <v>Light</v>
      </c>
      <c r="P385" s="10" t="str">
        <f>_xlfn.XLOOKUP(Tableau1[[#This Row],[Customer ID]],customers!A$2:A$1001,customers!I$2:I$1001)</f>
        <v>Yes</v>
      </c>
    </row>
    <row r="386" spans="1:16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9" t="str">
        <f>_xlfn.XLOOKUP(orders!C386,customers!$A$2:$A$1001,customers!$B$2:$B$1001)</f>
        <v>Nickey Dimbleby</v>
      </c>
      <c r="G386" s="9" t="str">
        <f>IF(_xlfn.XLOOKUP(orders!C386,customers!$A$2:$A$1001,customers!$C$2:$C$1001,,,)=0,"",_xlfn.XLOOKUP(orders!C386,customers!$A$2:$A$1001,customers!$C$2:$C$1001,,,))</f>
        <v/>
      </c>
      <c r="H386" s="9" t="str">
        <f>_xlfn.XLOOKUP(C386,customers!$A$2:$A$1001,customers!$G$2:$G$1001,"")</f>
        <v>United States</v>
      </c>
      <c r="I386" s="10" t="str">
        <f>INDEX(products!$A$2:$G$49,MATCH(orders!$D386,products!$A$2:$A$49,0),MATCH(orders!I$1,products!$A$1:$G$1,0))</f>
        <v>Ara</v>
      </c>
      <c r="J386" s="10" t="str">
        <f>INDEX(products!$A$2:$G$49,MATCH(orders!$D386,products!$A$2:$A$49,0),MATCH(orders!J$1,products!$A$1:$G$1,0))</f>
        <v>L</v>
      </c>
      <c r="K386" s="11">
        <f>INDEX(products!$A$2:$G$49,MATCH(orders!$D386,products!$A$2:$A$49,0),MATCH(orders!K$1,products!$A$1:$G$1,0))</f>
        <v>2.5</v>
      </c>
      <c r="L386" s="12">
        <f>INDEX(products!$A$2:$G$49,MATCH(orders!$D386,products!$A$2:$A$49,0),MATCH(orders!L$1,products!$A$1:$G$1,0))</f>
        <v>29.784999999999997</v>
      </c>
      <c r="M386" s="12">
        <f t="shared" si="15"/>
        <v>119.13999999999999</v>
      </c>
      <c r="N386" s="10" t="str">
        <f t="shared" si="16"/>
        <v>Arabica</v>
      </c>
      <c r="O386" s="10" t="str">
        <f t="shared" si="17"/>
        <v>Light</v>
      </c>
      <c r="P386" s="10" t="str">
        <f>_xlfn.XLOOKUP(Tableau1[[#This Row],[Customer ID]],customers!A$2:A$1001,customers!I$2:I$1001)</f>
        <v>No</v>
      </c>
    </row>
    <row r="387" spans="1:16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9" t="str">
        <f>_xlfn.XLOOKUP(orders!C387,customers!$A$2:$A$1001,customers!$B$2:$B$1001)</f>
        <v>Virgil Baumadier</v>
      </c>
      <c r="G387" s="9" t="str">
        <f>IF(_xlfn.XLOOKUP(orders!C387,customers!$A$2:$A$1001,customers!$C$2:$C$1001,,,)=0,"",_xlfn.XLOOKUP(orders!C387,customers!$A$2:$A$1001,customers!$C$2:$C$1001,,,))</f>
        <v>vbaumadierap@google.cn</v>
      </c>
      <c r="H387" s="9" t="str">
        <f>_xlfn.XLOOKUP(C387,customers!$A$2:$A$1001,customers!$G$2:$G$1001,"")</f>
        <v>United States</v>
      </c>
      <c r="I387" s="10" t="str">
        <f>INDEX(products!$A$2:$G$49,MATCH(orders!$D387,products!$A$2:$A$49,0),MATCH(orders!I$1,products!$A$1:$G$1,0))</f>
        <v>Lib</v>
      </c>
      <c r="J387" s="10" t="str">
        <f>INDEX(products!$A$2:$G$49,MATCH(orders!$D387,products!$A$2:$A$49,0),MATCH(orders!J$1,products!$A$1:$G$1,0))</f>
        <v>M</v>
      </c>
      <c r="K387" s="11">
        <f>INDEX(products!$A$2:$G$49,MATCH(orders!$D387,products!$A$2:$A$49,0),MATCH(orders!K$1,products!$A$1:$G$1,0))</f>
        <v>0.5</v>
      </c>
      <c r="L387" s="12">
        <f>INDEX(products!$A$2:$G$49,MATCH(orders!$D387,products!$A$2:$A$49,0),MATCH(orders!L$1,products!$A$1:$G$1,0))</f>
        <v>8.73</v>
      </c>
      <c r="M387" s="12">
        <f t="shared" ref="M387:M450" si="18">L387*E387</f>
        <v>43.650000000000006</v>
      </c>
      <c r="N387" s="10" t="str">
        <f t="shared" ref="N387:N450" si="19">IF(I387="Rob","Robusta",IF(I387="Exc","Excelsa",IF(I387="Ara","Arabica",IF(I387="Lib","Liberica"))))</f>
        <v>Liberica</v>
      </c>
      <c r="O387" s="10" t="str">
        <f t="shared" ref="O387:O450" si="20">IF(J387="M","Medium",IF(J387="L","Light",IF(J387="D","Dark")))</f>
        <v>Medium</v>
      </c>
      <c r="P387" s="10" t="str">
        <f>_xlfn.XLOOKUP(Tableau1[[#This Row],[Customer ID]],customers!A$2:A$1001,customers!I$2:I$1001)</f>
        <v>Yes</v>
      </c>
    </row>
    <row r="388" spans="1:16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9" t="str">
        <f>_xlfn.XLOOKUP(orders!C388,customers!$A$2:$A$1001,customers!$B$2:$B$1001)</f>
        <v>Lenore Messenbird</v>
      </c>
      <c r="G388" s="9" t="str">
        <f>IF(_xlfn.XLOOKUP(orders!C388,customers!$A$2:$A$1001,customers!$C$2:$C$1001,,,)=0,"",_xlfn.XLOOKUP(orders!C388,customers!$A$2:$A$1001,customers!$C$2:$C$1001,,,))</f>
        <v/>
      </c>
      <c r="H388" s="9" t="str">
        <f>_xlfn.XLOOKUP(C388,customers!$A$2:$A$1001,customers!$G$2:$G$1001,"")</f>
        <v>United States</v>
      </c>
      <c r="I388" s="10" t="str">
        <f>INDEX(products!$A$2:$G$49,MATCH(orders!$D388,products!$A$2:$A$49,0),MATCH(orders!I$1,products!$A$1:$G$1,0))</f>
        <v>Ara</v>
      </c>
      <c r="J388" s="10" t="str">
        <f>INDEX(products!$A$2:$G$49,MATCH(orders!$D388,products!$A$2:$A$49,0),MATCH(orders!J$1,products!$A$1:$G$1,0))</f>
        <v>D</v>
      </c>
      <c r="K388" s="11">
        <f>INDEX(products!$A$2:$G$49,MATCH(orders!$D388,products!$A$2:$A$49,0),MATCH(orders!K$1,products!$A$1:$G$1,0))</f>
        <v>0.2</v>
      </c>
      <c r="L388" s="12">
        <f>INDEX(products!$A$2:$G$49,MATCH(orders!$D388,products!$A$2:$A$49,0),MATCH(orders!L$1,products!$A$1:$G$1,0))</f>
        <v>2.9849999999999999</v>
      </c>
      <c r="M388" s="12">
        <f t="shared" si="18"/>
        <v>17.91</v>
      </c>
      <c r="N388" s="10" t="str">
        <f t="shared" si="19"/>
        <v>Arabica</v>
      </c>
      <c r="O388" s="10" t="str">
        <f t="shared" si="20"/>
        <v>Dark</v>
      </c>
      <c r="P388" s="10" t="str">
        <f>_xlfn.XLOOKUP(Tableau1[[#This Row],[Customer ID]],customers!A$2:A$1001,customers!I$2:I$1001)</f>
        <v>Yes</v>
      </c>
    </row>
    <row r="389" spans="1:16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9" t="str">
        <f>_xlfn.XLOOKUP(orders!C389,customers!$A$2:$A$1001,customers!$B$2:$B$1001)</f>
        <v>Shirleen Welds</v>
      </c>
      <c r="G389" s="9" t="str">
        <f>IF(_xlfn.XLOOKUP(orders!C389,customers!$A$2:$A$1001,customers!$C$2:$C$1001,,,)=0,"",_xlfn.XLOOKUP(orders!C389,customers!$A$2:$A$1001,customers!$C$2:$C$1001,,,))</f>
        <v>sweldsar@wired.com</v>
      </c>
      <c r="H389" s="9" t="str">
        <f>_xlfn.XLOOKUP(C389,customers!$A$2:$A$1001,customers!$G$2:$G$1001,"")</f>
        <v>United States</v>
      </c>
      <c r="I389" s="10" t="str">
        <f>INDEX(products!$A$2:$G$49,MATCH(orders!$D389,products!$A$2:$A$49,0),MATCH(orders!I$1,products!$A$1:$G$1,0))</f>
        <v>Exc</v>
      </c>
      <c r="J389" s="10" t="str">
        <f>INDEX(products!$A$2:$G$49,MATCH(orders!$D389,products!$A$2:$A$49,0),MATCH(orders!J$1,products!$A$1:$G$1,0))</f>
        <v>L</v>
      </c>
      <c r="K389" s="11">
        <f>INDEX(products!$A$2:$G$49,MATCH(orders!$D389,products!$A$2:$A$49,0),MATCH(orders!K$1,products!$A$1:$G$1,0))</f>
        <v>1</v>
      </c>
      <c r="L389" s="12">
        <f>INDEX(products!$A$2:$G$49,MATCH(orders!$D389,products!$A$2:$A$49,0),MATCH(orders!L$1,products!$A$1:$G$1,0))</f>
        <v>14.85</v>
      </c>
      <c r="M389" s="12">
        <f t="shared" si="18"/>
        <v>74.25</v>
      </c>
      <c r="N389" s="10" t="str">
        <f t="shared" si="19"/>
        <v>Excelsa</v>
      </c>
      <c r="O389" s="10" t="str">
        <f t="shared" si="20"/>
        <v>Light</v>
      </c>
      <c r="P389" s="10" t="str">
        <f>_xlfn.XLOOKUP(Tableau1[[#This Row],[Customer ID]],customers!A$2:A$1001,customers!I$2:I$1001)</f>
        <v>Yes</v>
      </c>
    </row>
    <row r="390" spans="1:16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9" t="str">
        <f>_xlfn.XLOOKUP(orders!C390,customers!$A$2:$A$1001,customers!$B$2:$B$1001)</f>
        <v>Maisie Sarvar</v>
      </c>
      <c r="G390" s="9" t="str">
        <f>IF(_xlfn.XLOOKUP(orders!C390,customers!$A$2:$A$1001,customers!$C$2:$C$1001,,,)=0,"",_xlfn.XLOOKUP(orders!C390,customers!$A$2:$A$1001,customers!$C$2:$C$1001,,,))</f>
        <v>msarvaras@artisteer.com</v>
      </c>
      <c r="H390" s="9" t="str">
        <f>_xlfn.XLOOKUP(C390,customers!$A$2:$A$1001,customers!$G$2:$G$1001,"")</f>
        <v>United States</v>
      </c>
      <c r="I390" s="10" t="str">
        <f>INDEX(products!$A$2:$G$49,MATCH(orders!$D390,products!$A$2:$A$49,0),MATCH(orders!I$1,products!$A$1:$G$1,0))</f>
        <v>Lib</v>
      </c>
      <c r="J390" s="10" t="str">
        <f>INDEX(products!$A$2:$G$49,MATCH(orders!$D390,products!$A$2:$A$49,0),MATCH(orders!J$1,products!$A$1:$G$1,0))</f>
        <v>D</v>
      </c>
      <c r="K390" s="11">
        <f>INDEX(products!$A$2:$G$49,MATCH(orders!$D390,products!$A$2:$A$49,0),MATCH(orders!K$1,products!$A$1:$G$1,0))</f>
        <v>0.2</v>
      </c>
      <c r="L390" s="12">
        <f>INDEX(products!$A$2:$G$49,MATCH(orders!$D390,products!$A$2:$A$49,0),MATCH(orders!L$1,products!$A$1:$G$1,0))</f>
        <v>3.8849999999999998</v>
      </c>
      <c r="M390" s="12">
        <f t="shared" si="18"/>
        <v>11.654999999999999</v>
      </c>
      <c r="N390" s="10" t="str">
        <f t="shared" si="19"/>
        <v>Liberica</v>
      </c>
      <c r="O390" s="10" t="str">
        <f t="shared" si="20"/>
        <v>Dark</v>
      </c>
      <c r="P390" s="10" t="str">
        <f>_xlfn.XLOOKUP(Tableau1[[#This Row],[Customer ID]],customers!A$2:A$1001,customers!I$2:I$1001)</f>
        <v>Yes</v>
      </c>
    </row>
    <row r="391" spans="1:16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9" t="str">
        <f>_xlfn.XLOOKUP(orders!C391,customers!$A$2:$A$1001,customers!$B$2:$B$1001)</f>
        <v>Andrej Havick</v>
      </c>
      <c r="G391" s="9" t="str">
        <f>IF(_xlfn.XLOOKUP(orders!C391,customers!$A$2:$A$1001,customers!$C$2:$C$1001,,,)=0,"",_xlfn.XLOOKUP(orders!C391,customers!$A$2:$A$1001,customers!$C$2:$C$1001,,,))</f>
        <v>ahavickat@nsw.gov.au</v>
      </c>
      <c r="H391" s="9" t="str">
        <f>_xlfn.XLOOKUP(C391,customers!$A$2:$A$1001,customers!$G$2:$G$1001,"")</f>
        <v>United States</v>
      </c>
      <c r="I391" s="10" t="str">
        <f>INDEX(products!$A$2:$G$49,MATCH(orders!$D391,products!$A$2:$A$49,0),MATCH(orders!I$1,products!$A$1:$G$1,0))</f>
        <v>Lib</v>
      </c>
      <c r="J391" s="10" t="str">
        <f>INDEX(products!$A$2:$G$49,MATCH(orders!$D391,products!$A$2:$A$49,0),MATCH(orders!J$1,products!$A$1:$G$1,0))</f>
        <v>D</v>
      </c>
      <c r="K391" s="11">
        <f>INDEX(products!$A$2:$G$49,MATCH(orders!$D391,products!$A$2:$A$49,0),MATCH(orders!K$1,products!$A$1:$G$1,0))</f>
        <v>0.5</v>
      </c>
      <c r="L391" s="12">
        <f>INDEX(products!$A$2:$G$49,MATCH(orders!$D391,products!$A$2:$A$49,0),MATCH(orders!L$1,products!$A$1:$G$1,0))</f>
        <v>7.77</v>
      </c>
      <c r="M391" s="12">
        <f t="shared" si="18"/>
        <v>23.31</v>
      </c>
      <c r="N391" s="10" t="str">
        <f t="shared" si="19"/>
        <v>Liberica</v>
      </c>
      <c r="O391" s="10" t="str">
        <f t="shared" si="20"/>
        <v>Dark</v>
      </c>
      <c r="P391" s="10" t="str">
        <f>_xlfn.XLOOKUP(Tableau1[[#This Row],[Customer ID]],customers!A$2:A$1001,customers!I$2:I$1001)</f>
        <v>Yes</v>
      </c>
    </row>
    <row r="392" spans="1:16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9" t="str">
        <f>_xlfn.XLOOKUP(orders!C392,customers!$A$2:$A$1001,customers!$B$2:$B$1001)</f>
        <v>Sloan Diviny</v>
      </c>
      <c r="G392" s="9" t="str">
        <f>IF(_xlfn.XLOOKUP(orders!C392,customers!$A$2:$A$1001,customers!$C$2:$C$1001,,,)=0,"",_xlfn.XLOOKUP(orders!C392,customers!$A$2:$A$1001,customers!$C$2:$C$1001,,,))</f>
        <v>sdivinyau@ask.com</v>
      </c>
      <c r="H392" s="9" t="str">
        <f>_xlfn.XLOOKUP(C392,customers!$A$2:$A$1001,customers!$G$2:$G$1001,"")</f>
        <v>United States</v>
      </c>
      <c r="I392" s="10" t="str">
        <f>INDEX(products!$A$2:$G$49,MATCH(orders!$D392,products!$A$2:$A$49,0),MATCH(orders!I$1,products!$A$1:$G$1,0))</f>
        <v>Exc</v>
      </c>
      <c r="J392" s="10" t="str">
        <f>INDEX(products!$A$2:$G$49,MATCH(orders!$D392,products!$A$2:$A$49,0),MATCH(orders!J$1,products!$A$1:$G$1,0))</f>
        <v>D</v>
      </c>
      <c r="K392" s="11">
        <f>INDEX(products!$A$2:$G$49,MATCH(orders!$D392,products!$A$2:$A$49,0),MATCH(orders!K$1,products!$A$1:$G$1,0))</f>
        <v>0.5</v>
      </c>
      <c r="L392" s="12">
        <f>INDEX(products!$A$2:$G$49,MATCH(orders!$D392,products!$A$2:$A$49,0),MATCH(orders!L$1,products!$A$1:$G$1,0))</f>
        <v>7.29</v>
      </c>
      <c r="M392" s="12">
        <f t="shared" si="18"/>
        <v>14.58</v>
      </c>
      <c r="N392" s="10" t="str">
        <f t="shared" si="19"/>
        <v>Excelsa</v>
      </c>
      <c r="O392" s="10" t="str">
        <f t="shared" si="20"/>
        <v>Dark</v>
      </c>
      <c r="P392" s="10" t="str">
        <f>_xlfn.XLOOKUP(Tableau1[[#This Row],[Customer ID]],customers!A$2:A$1001,customers!I$2:I$1001)</f>
        <v>Yes</v>
      </c>
    </row>
    <row r="393" spans="1:16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9" t="str">
        <f>_xlfn.XLOOKUP(orders!C393,customers!$A$2:$A$1001,customers!$B$2:$B$1001)</f>
        <v>Itch Norquoy</v>
      </c>
      <c r="G393" s="9" t="str">
        <f>IF(_xlfn.XLOOKUP(orders!C393,customers!$A$2:$A$1001,customers!$C$2:$C$1001,,,)=0,"",_xlfn.XLOOKUP(orders!C393,customers!$A$2:$A$1001,customers!$C$2:$C$1001,,,))</f>
        <v>inorquoyav@businessweek.com</v>
      </c>
      <c r="H393" s="9" t="str">
        <f>_xlfn.XLOOKUP(C393,customers!$A$2:$A$1001,customers!$G$2:$G$1001,"")</f>
        <v>United States</v>
      </c>
      <c r="I393" s="10" t="str">
        <f>INDEX(products!$A$2:$G$49,MATCH(orders!$D393,products!$A$2:$A$49,0),MATCH(orders!I$1,products!$A$1:$G$1,0))</f>
        <v>Ara</v>
      </c>
      <c r="J393" s="10" t="str">
        <f>INDEX(products!$A$2:$G$49,MATCH(orders!$D393,products!$A$2:$A$49,0),MATCH(orders!J$1,products!$A$1:$G$1,0))</f>
        <v>M</v>
      </c>
      <c r="K393" s="11">
        <f>INDEX(products!$A$2:$G$49,MATCH(orders!$D393,products!$A$2:$A$49,0),MATCH(orders!K$1,products!$A$1:$G$1,0))</f>
        <v>0.5</v>
      </c>
      <c r="L393" s="12">
        <f>INDEX(products!$A$2:$G$49,MATCH(orders!$D393,products!$A$2:$A$49,0),MATCH(orders!L$1,products!$A$1:$G$1,0))</f>
        <v>6.75</v>
      </c>
      <c r="M393" s="12">
        <f t="shared" si="18"/>
        <v>13.5</v>
      </c>
      <c r="N393" s="10" t="str">
        <f t="shared" si="19"/>
        <v>Arabica</v>
      </c>
      <c r="O393" s="10" t="str">
        <f t="shared" si="20"/>
        <v>Medium</v>
      </c>
      <c r="P393" s="10" t="str">
        <f>_xlfn.XLOOKUP(Tableau1[[#This Row],[Customer ID]],customers!A$2:A$1001,customers!I$2:I$1001)</f>
        <v>No</v>
      </c>
    </row>
    <row r="394" spans="1:16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9" t="str">
        <f>_xlfn.XLOOKUP(orders!C394,customers!$A$2:$A$1001,customers!$B$2:$B$1001)</f>
        <v>Anson Iddison</v>
      </c>
      <c r="G394" s="9" t="str">
        <f>IF(_xlfn.XLOOKUP(orders!C394,customers!$A$2:$A$1001,customers!$C$2:$C$1001,,,)=0,"",_xlfn.XLOOKUP(orders!C394,customers!$A$2:$A$1001,customers!$C$2:$C$1001,,,))</f>
        <v>aiddisonaw@usa.gov</v>
      </c>
      <c r="H394" s="9" t="str">
        <f>_xlfn.XLOOKUP(C394,customers!$A$2:$A$1001,customers!$G$2:$G$1001,"")</f>
        <v>United States</v>
      </c>
      <c r="I394" s="10" t="str">
        <f>INDEX(products!$A$2:$G$49,MATCH(orders!$D394,products!$A$2:$A$49,0),MATCH(orders!I$1,products!$A$1:$G$1,0))</f>
        <v>Exc</v>
      </c>
      <c r="J394" s="10" t="str">
        <f>INDEX(products!$A$2:$G$49,MATCH(orders!$D394,products!$A$2:$A$49,0),MATCH(orders!J$1,products!$A$1:$G$1,0))</f>
        <v>L</v>
      </c>
      <c r="K394" s="11">
        <f>INDEX(products!$A$2:$G$49,MATCH(orders!$D394,products!$A$2:$A$49,0),MATCH(orders!K$1,products!$A$1:$G$1,0))</f>
        <v>1</v>
      </c>
      <c r="L394" s="12">
        <f>INDEX(products!$A$2:$G$49,MATCH(orders!$D394,products!$A$2:$A$49,0),MATCH(orders!L$1,products!$A$1:$G$1,0))</f>
        <v>14.85</v>
      </c>
      <c r="M394" s="12">
        <f t="shared" si="18"/>
        <v>89.1</v>
      </c>
      <c r="N394" s="10" t="str">
        <f t="shared" si="19"/>
        <v>Excelsa</v>
      </c>
      <c r="O394" s="10" t="str">
        <f t="shared" si="20"/>
        <v>Light</v>
      </c>
      <c r="P394" s="10" t="str">
        <f>_xlfn.XLOOKUP(Tableau1[[#This Row],[Customer ID]],customers!A$2:A$1001,customers!I$2:I$1001)</f>
        <v>No</v>
      </c>
    </row>
    <row r="395" spans="1:16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9" t="str">
        <f>_xlfn.XLOOKUP(orders!C395,customers!$A$2:$A$1001,customers!$B$2:$B$1001)</f>
        <v>Anson Iddison</v>
      </c>
      <c r="G395" s="9" t="str">
        <f>IF(_xlfn.XLOOKUP(orders!C395,customers!$A$2:$A$1001,customers!$C$2:$C$1001,,,)=0,"",_xlfn.XLOOKUP(orders!C395,customers!$A$2:$A$1001,customers!$C$2:$C$1001,,,))</f>
        <v>aiddisonaw@usa.gov</v>
      </c>
      <c r="H395" s="9" t="str">
        <f>_xlfn.XLOOKUP(C395,customers!$A$2:$A$1001,customers!$G$2:$G$1001,"")</f>
        <v>United States</v>
      </c>
      <c r="I395" s="10" t="str">
        <f>INDEX(products!$A$2:$G$49,MATCH(orders!$D395,products!$A$2:$A$49,0),MATCH(orders!I$1,products!$A$1:$G$1,0))</f>
        <v>Ara</v>
      </c>
      <c r="J395" s="10" t="str">
        <f>INDEX(products!$A$2:$G$49,MATCH(orders!$D395,products!$A$2:$A$49,0),MATCH(orders!J$1,products!$A$1:$G$1,0))</f>
        <v>L</v>
      </c>
      <c r="K395" s="11">
        <f>INDEX(products!$A$2:$G$49,MATCH(orders!$D395,products!$A$2:$A$49,0),MATCH(orders!K$1,products!$A$1:$G$1,0))</f>
        <v>0.2</v>
      </c>
      <c r="L395" s="12">
        <f>INDEX(products!$A$2:$G$49,MATCH(orders!$D395,products!$A$2:$A$49,0),MATCH(orders!L$1,products!$A$1:$G$1,0))</f>
        <v>3.8849999999999998</v>
      </c>
      <c r="M395" s="12">
        <f t="shared" si="18"/>
        <v>3.8849999999999998</v>
      </c>
      <c r="N395" s="10" t="str">
        <f t="shared" si="19"/>
        <v>Arabica</v>
      </c>
      <c r="O395" s="10" t="str">
        <f t="shared" si="20"/>
        <v>Light</v>
      </c>
      <c r="P395" s="10" t="str">
        <f>_xlfn.XLOOKUP(Tableau1[[#This Row],[Customer ID]],customers!A$2:A$1001,customers!I$2:I$1001)</f>
        <v>No</v>
      </c>
    </row>
    <row r="396" spans="1:16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9" t="str">
        <f>_xlfn.XLOOKUP(orders!C396,customers!$A$2:$A$1001,customers!$B$2:$B$1001)</f>
        <v>Randal Longfield</v>
      </c>
      <c r="G396" s="9" t="str">
        <f>IF(_xlfn.XLOOKUP(orders!C396,customers!$A$2:$A$1001,customers!$C$2:$C$1001,,,)=0,"",_xlfn.XLOOKUP(orders!C396,customers!$A$2:$A$1001,customers!$C$2:$C$1001,,,))</f>
        <v>rlongfielday@bluehost.com</v>
      </c>
      <c r="H396" s="9" t="str">
        <f>_xlfn.XLOOKUP(C396,customers!$A$2:$A$1001,customers!$G$2:$G$1001,"")</f>
        <v>United States</v>
      </c>
      <c r="I396" s="10" t="str">
        <f>INDEX(products!$A$2:$G$49,MATCH(orders!$D396,products!$A$2:$A$49,0),MATCH(orders!I$1,products!$A$1:$G$1,0))</f>
        <v>Rob</v>
      </c>
      <c r="J396" s="10" t="str">
        <f>INDEX(products!$A$2:$G$49,MATCH(orders!$D396,products!$A$2:$A$49,0),MATCH(orders!J$1,products!$A$1:$G$1,0))</f>
        <v>L</v>
      </c>
      <c r="K396" s="11">
        <f>INDEX(products!$A$2:$G$49,MATCH(orders!$D396,products!$A$2:$A$49,0),MATCH(orders!K$1,products!$A$1:$G$1,0))</f>
        <v>2.5</v>
      </c>
      <c r="L396" s="12">
        <f>INDEX(products!$A$2:$G$49,MATCH(orders!$D396,products!$A$2:$A$49,0),MATCH(orders!L$1,products!$A$1:$G$1,0))</f>
        <v>27.484999999999996</v>
      </c>
      <c r="M396" s="12">
        <f t="shared" si="18"/>
        <v>109.93999999999998</v>
      </c>
      <c r="N396" s="10" t="str">
        <f t="shared" si="19"/>
        <v>Robusta</v>
      </c>
      <c r="O396" s="10" t="str">
        <f t="shared" si="20"/>
        <v>Light</v>
      </c>
      <c r="P396" s="10" t="str">
        <f>_xlfn.XLOOKUP(Tableau1[[#This Row],[Customer ID]],customers!A$2:A$1001,customers!I$2:I$1001)</f>
        <v>No</v>
      </c>
    </row>
    <row r="397" spans="1:16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9" t="str">
        <f>_xlfn.XLOOKUP(orders!C397,customers!$A$2:$A$1001,customers!$B$2:$B$1001)</f>
        <v>Gregorius Kislingbury</v>
      </c>
      <c r="G397" s="9" t="str">
        <f>IF(_xlfn.XLOOKUP(orders!C397,customers!$A$2:$A$1001,customers!$C$2:$C$1001,,,)=0,"",_xlfn.XLOOKUP(orders!C397,customers!$A$2:$A$1001,customers!$C$2:$C$1001,,,))</f>
        <v>gkislingburyaz@samsung.com</v>
      </c>
      <c r="H397" s="9" t="str">
        <f>_xlfn.XLOOKUP(C397,customers!$A$2:$A$1001,customers!$G$2:$G$1001,"")</f>
        <v>United States</v>
      </c>
      <c r="I397" s="10" t="str">
        <f>INDEX(products!$A$2:$G$49,MATCH(orders!$D397,products!$A$2:$A$49,0),MATCH(orders!I$1,products!$A$1:$G$1,0))</f>
        <v>Lib</v>
      </c>
      <c r="J397" s="10" t="str">
        <f>INDEX(products!$A$2:$G$49,MATCH(orders!$D397,products!$A$2:$A$49,0),MATCH(orders!J$1,products!$A$1:$G$1,0))</f>
        <v>D</v>
      </c>
      <c r="K397" s="11">
        <f>INDEX(products!$A$2:$G$49,MATCH(orders!$D397,products!$A$2:$A$49,0),MATCH(orders!K$1,products!$A$1:$G$1,0))</f>
        <v>0.5</v>
      </c>
      <c r="L397" s="12">
        <f>INDEX(products!$A$2:$G$49,MATCH(orders!$D397,products!$A$2:$A$49,0),MATCH(orders!L$1,products!$A$1:$G$1,0))</f>
        <v>7.77</v>
      </c>
      <c r="M397" s="12">
        <f t="shared" si="18"/>
        <v>46.62</v>
      </c>
      <c r="N397" s="10" t="str">
        <f t="shared" si="19"/>
        <v>Liberica</v>
      </c>
      <c r="O397" s="10" t="str">
        <f t="shared" si="20"/>
        <v>Dark</v>
      </c>
      <c r="P397" s="10" t="str">
        <f>_xlfn.XLOOKUP(Tableau1[[#This Row],[Customer ID]],customers!A$2:A$1001,customers!I$2:I$1001)</f>
        <v>Yes</v>
      </c>
    </row>
    <row r="398" spans="1:16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9" t="str">
        <f>_xlfn.XLOOKUP(orders!C398,customers!$A$2:$A$1001,customers!$B$2:$B$1001)</f>
        <v>Xenos Gibbons</v>
      </c>
      <c r="G398" s="9" t="str">
        <f>IF(_xlfn.XLOOKUP(orders!C398,customers!$A$2:$A$1001,customers!$C$2:$C$1001,,,)=0,"",_xlfn.XLOOKUP(orders!C398,customers!$A$2:$A$1001,customers!$C$2:$C$1001,,,))</f>
        <v>xgibbonsb0@artisteer.com</v>
      </c>
      <c r="H398" s="9" t="str">
        <f>_xlfn.XLOOKUP(C398,customers!$A$2:$A$1001,customers!$G$2:$G$1001,"")</f>
        <v>United States</v>
      </c>
      <c r="I398" s="10" t="str">
        <f>INDEX(products!$A$2:$G$49,MATCH(orders!$D398,products!$A$2:$A$49,0),MATCH(orders!I$1,products!$A$1:$G$1,0))</f>
        <v>Ara</v>
      </c>
      <c r="J398" s="10" t="str">
        <f>INDEX(products!$A$2:$G$49,MATCH(orders!$D398,products!$A$2:$A$49,0),MATCH(orders!J$1,products!$A$1:$G$1,0))</f>
        <v>L</v>
      </c>
      <c r="K398" s="11">
        <f>INDEX(products!$A$2:$G$49,MATCH(orders!$D398,products!$A$2:$A$49,0),MATCH(orders!K$1,products!$A$1:$G$1,0))</f>
        <v>0.5</v>
      </c>
      <c r="L398" s="12">
        <f>INDEX(products!$A$2:$G$49,MATCH(orders!$D398,products!$A$2:$A$49,0),MATCH(orders!L$1,products!$A$1:$G$1,0))</f>
        <v>7.77</v>
      </c>
      <c r="M398" s="12">
        <f t="shared" si="18"/>
        <v>38.849999999999994</v>
      </c>
      <c r="N398" s="10" t="str">
        <f t="shared" si="19"/>
        <v>Arabica</v>
      </c>
      <c r="O398" s="10" t="str">
        <f t="shared" si="20"/>
        <v>Light</v>
      </c>
      <c r="P398" s="10" t="str">
        <f>_xlfn.XLOOKUP(Tableau1[[#This Row],[Customer ID]],customers!A$2:A$1001,customers!I$2:I$1001)</f>
        <v>No</v>
      </c>
    </row>
    <row r="399" spans="1:16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9" t="str">
        <f>_xlfn.XLOOKUP(orders!C399,customers!$A$2:$A$1001,customers!$B$2:$B$1001)</f>
        <v>Fleur Parres</v>
      </c>
      <c r="G399" s="9" t="str">
        <f>IF(_xlfn.XLOOKUP(orders!C399,customers!$A$2:$A$1001,customers!$C$2:$C$1001,,,)=0,"",_xlfn.XLOOKUP(orders!C399,customers!$A$2:$A$1001,customers!$C$2:$C$1001,,,))</f>
        <v>fparresb1@imageshack.us</v>
      </c>
      <c r="H399" s="9" t="str">
        <f>_xlfn.XLOOKUP(C399,customers!$A$2:$A$1001,customers!$G$2:$G$1001,"")</f>
        <v>United States</v>
      </c>
      <c r="I399" s="10" t="str">
        <f>INDEX(products!$A$2:$G$49,MATCH(orders!$D399,products!$A$2:$A$49,0),MATCH(orders!I$1,products!$A$1:$G$1,0))</f>
        <v>Lib</v>
      </c>
      <c r="J399" s="10" t="str">
        <f>INDEX(products!$A$2:$G$49,MATCH(orders!$D399,products!$A$2:$A$49,0),MATCH(orders!J$1,products!$A$1:$G$1,0))</f>
        <v>D</v>
      </c>
      <c r="K399" s="11">
        <f>INDEX(products!$A$2:$G$49,MATCH(orders!$D399,products!$A$2:$A$49,0),MATCH(orders!K$1,products!$A$1:$G$1,0))</f>
        <v>0.5</v>
      </c>
      <c r="L399" s="12">
        <f>INDEX(products!$A$2:$G$49,MATCH(orders!$D399,products!$A$2:$A$49,0),MATCH(orders!L$1,products!$A$1:$G$1,0))</f>
        <v>7.77</v>
      </c>
      <c r="M399" s="12">
        <f t="shared" si="18"/>
        <v>31.08</v>
      </c>
      <c r="N399" s="10" t="str">
        <f t="shared" si="19"/>
        <v>Liberica</v>
      </c>
      <c r="O399" s="10" t="str">
        <f t="shared" si="20"/>
        <v>Dark</v>
      </c>
      <c r="P399" s="10" t="str">
        <f>_xlfn.XLOOKUP(Tableau1[[#This Row],[Customer ID]],customers!A$2:A$1001,customers!I$2:I$1001)</f>
        <v>Yes</v>
      </c>
    </row>
    <row r="400" spans="1:16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9" t="str">
        <f>_xlfn.XLOOKUP(orders!C400,customers!$A$2:$A$1001,customers!$B$2:$B$1001)</f>
        <v>Gran Sibray</v>
      </c>
      <c r="G400" s="9" t="str">
        <f>IF(_xlfn.XLOOKUP(orders!C400,customers!$A$2:$A$1001,customers!$C$2:$C$1001,,,)=0,"",_xlfn.XLOOKUP(orders!C400,customers!$A$2:$A$1001,customers!$C$2:$C$1001,,,))</f>
        <v>gsibrayb2@wsj.com</v>
      </c>
      <c r="H400" s="9" t="str">
        <f>_xlfn.XLOOKUP(C400,customers!$A$2:$A$1001,customers!$G$2:$G$1001,"")</f>
        <v>United States</v>
      </c>
      <c r="I400" s="10" t="str">
        <f>INDEX(products!$A$2:$G$49,MATCH(orders!$D400,products!$A$2:$A$49,0),MATCH(orders!I$1,products!$A$1:$G$1,0))</f>
        <v>Ara</v>
      </c>
      <c r="J400" s="10" t="str">
        <f>INDEX(products!$A$2:$G$49,MATCH(orders!$D400,products!$A$2:$A$49,0),MATCH(orders!J$1,products!$A$1:$G$1,0))</f>
        <v>D</v>
      </c>
      <c r="K400" s="11">
        <f>INDEX(products!$A$2:$G$49,MATCH(orders!$D400,products!$A$2:$A$49,0),MATCH(orders!K$1,products!$A$1:$G$1,0))</f>
        <v>0.2</v>
      </c>
      <c r="L400" s="12">
        <f>INDEX(products!$A$2:$G$49,MATCH(orders!$D400,products!$A$2:$A$49,0),MATCH(orders!L$1,products!$A$1:$G$1,0))</f>
        <v>2.9849999999999999</v>
      </c>
      <c r="M400" s="12">
        <f t="shared" si="18"/>
        <v>17.91</v>
      </c>
      <c r="N400" s="10" t="str">
        <f t="shared" si="19"/>
        <v>Arabica</v>
      </c>
      <c r="O400" s="10" t="str">
        <f t="shared" si="20"/>
        <v>Dark</v>
      </c>
      <c r="P400" s="10" t="str">
        <f>_xlfn.XLOOKUP(Tableau1[[#This Row],[Customer ID]],customers!A$2:A$1001,customers!I$2:I$1001)</f>
        <v>Yes</v>
      </c>
    </row>
    <row r="401" spans="1:16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9" t="str">
        <f>_xlfn.XLOOKUP(orders!C401,customers!$A$2:$A$1001,customers!$B$2:$B$1001)</f>
        <v>Ingelbert Hotchkin</v>
      </c>
      <c r="G401" s="9" t="str">
        <f>IF(_xlfn.XLOOKUP(orders!C401,customers!$A$2:$A$1001,customers!$C$2:$C$1001,,,)=0,"",_xlfn.XLOOKUP(orders!C401,customers!$A$2:$A$1001,customers!$C$2:$C$1001,,,))</f>
        <v>ihotchkinb3@mit.edu</v>
      </c>
      <c r="H401" s="9" t="str">
        <f>_xlfn.XLOOKUP(C401,customers!$A$2:$A$1001,customers!$G$2:$G$1001,"")</f>
        <v>United Kingdom</v>
      </c>
      <c r="I401" s="10" t="str">
        <f>INDEX(products!$A$2:$G$49,MATCH(orders!$D401,products!$A$2:$A$49,0),MATCH(orders!I$1,products!$A$1:$G$1,0))</f>
        <v>Exc</v>
      </c>
      <c r="J401" s="10" t="str">
        <f>INDEX(products!$A$2:$G$49,MATCH(orders!$D401,products!$A$2:$A$49,0),MATCH(orders!J$1,products!$A$1:$G$1,0))</f>
        <v>D</v>
      </c>
      <c r="K401" s="11">
        <f>INDEX(products!$A$2:$G$49,MATCH(orders!$D401,products!$A$2:$A$49,0),MATCH(orders!K$1,products!$A$1:$G$1,0))</f>
        <v>2.5</v>
      </c>
      <c r="L401" s="12">
        <f>INDEX(products!$A$2:$G$49,MATCH(orders!$D401,products!$A$2:$A$49,0),MATCH(orders!L$1,products!$A$1:$G$1,0))</f>
        <v>27.945</v>
      </c>
      <c r="M401" s="12">
        <f t="shared" si="18"/>
        <v>167.67000000000002</v>
      </c>
      <c r="N401" s="10" t="str">
        <f t="shared" si="19"/>
        <v>Excelsa</v>
      </c>
      <c r="O401" s="10" t="str">
        <f t="shared" si="20"/>
        <v>Dark</v>
      </c>
      <c r="P401" s="10" t="str">
        <f>_xlfn.XLOOKUP(Tableau1[[#This Row],[Customer ID]],customers!A$2:A$1001,customers!I$2:I$1001)</f>
        <v>No</v>
      </c>
    </row>
    <row r="402" spans="1:16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9" t="str">
        <f>_xlfn.XLOOKUP(orders!C402,customers!$A$2:$A$1001,customers!$B$2:$B$1001)</f>
        <v>Neely Broadberrie</v>
      </c>
      <c r="G402" s="9" t="str">
        <f>IF(_xlfn.XLOOKUP(orders!C402,customers!$A$2:$A$1001,customers!$C$2:$C$1001,,,)=0,"",_xlfn.XLOOKUP(orders!C402,customers!$A$2:$A$1001,customers!$C$2:$C$1001,,,))</f>
        <v>nbroadberrieb4@gnu.org</v>
      </c>
      <c r="H402" s="9" t="str">
        <f>_xlfn.XLOOKUP(C402,customers!$A$2:$A$1001,customers!$G$2:$G$1001,"")</f>
        <v>United States</v>
      </c>
      <c r="I402" s="10" t="str">
        <f>INDEX(products!$A$2:$G$49,MATCH(orders!$D402,products!$A$2:$A$49,0),MATCH(orders!I$1,products!$A$1:$G$1,0))</f>
        <v>Lib</v>
      </c>
      <c r="J402" s="10" t="str">
        <f>INDEX(products!$A$2:$G$49,MATCH(orders!$D402,products!$A$2:$A$49,0),MATCH(orders!J$1,products!$A$1:$G$1,0))</f>
        <v>L</v>
      </c>
      <c r="K402" s="11">
        <f>INDEX(products!$A$2:$G$49,MATCH(orders!$D402,products!$A$2:$A$49,0),MATCH(orders!K$1,products!$A$1:$G$1,0))</f>
        <v>1</v>
      </c>
      <c r="L402" s="12">
        <f>INDEX(products!$A$2:$G$49,MATCH(orders!$D402,products!$A$2:$A$49,0),MATCH(orders!L$1,products!$A$1:$G$1,0))</f>
        <v>15.85</v>
      </c>
      <c r="M402" s="12">
        <f t="shared" si="18"/>
        <v>63.4</v>
      </c>
      <c r="N402" s="10" t="str">
        <f t="shared" si="19"/>
        <v>Liberica</v>
      </c>
      <c r="O402" s="10" t="str">
        <f t="shared" si="20"/>
        <v>Light</v>
      </c>
      <c r="P402" s="10" t="str">
        <f>_xlfn.XLOOKUP(Tableau1[[#This Row],[Customer ID]],customers!A$2:A$1001,customers!I$2:I$1001)</f>
        <v>No</v>
      </c>
    </row>
    <row r="403" spans="1:16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9" t="str">
        <f>_xlfn.XLOOKUP(orders!C403,customers!$A$2:$A$1001,customers!$B$2:$B$1001)</f>
        <v>Rutger Pithcock</v>
      </c>
      <c r="G403" s="9" t="str">
        <f>IF(_xlfn.XLOOKUP(orders!C403,customers!$A$2:$A$1001,customers!$C$2:$C$1001,,,)=0,"",_xlfn.XLOOKUP(orders!C403,customers!$A$2:$A$1001,customers!$C$2:$C$1001,,,))</f>
        <v>rpithcockb5@yellowbook.com</v>
      </c>
      <c r="H403" s="9" t="str">
        <f>_xlfn.XLOOKUP(C403,customers!$A$2:$A$1001,customers!$G$2:$G$1001,"")</f>
        <v>United States</v>
      </c>
      <c r="I403" s="10" t="str">
        <f>INDEX(products!$A$2:$G$49,MATCH(orders!$D403,products!$A$2:$A$49,0),MATCH(orders!I$1,products!$A$1:$G$1,0))</f>
        <v>Lib</v>
      </c>
      <c r="J403" s="10" t="str">
        <f>INDEX(products!$A$2:$G$49,MATCH(orders!$D403,products!$A$2:$A$49,0),MATCH(orders!J$1,products!$A$1:$G$1,0))</f>
        <v>M</v>
      </c>
      <c r="K403" s="11">
        <f>INDEX(products!$A$2:$G$49,MATCH(orders!$D403,products!$A$2:$A$49,0),MATCH(orders!K$1,products!$A$1:$G$1,0))</f>
        <v>0.2</v>
      </c>
      <c r="L403" s="12">
        <f>INDEX(products!$A$2:$G$49,MATCH(orders!$D403,products!$A$2:$A$49,0),MATCH(orders!L$1,products!$A$1:$G$1,0))</f>
        <v>4.3650000000000002</v>
      </c>
      <c r="M403" s="12">
        <f t="shared" si="18"/>
        <v>8.73</v>
      </c>
      <c r="N403" s="10" t="str">
        <f t="shared" si="19"/>
        <v>Liberica</v>
      </c>
      <c r="O403" s="10" t="str">
        <f t="shared" si="20"/>
        <v>Medium</v>
      </c>
      <c r="P403" s="10" t="str">
        <f>_xlfn.XLOOKUP(Tableau1[[#This Row],[Customer ID]],customers!A$2:A$1001,customers!I$2:I$1001)</f>
        <v>Yes</v>
      </c>
    </row>
    <row r="404" spans="1:16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9" t="str">
        <f>_xlfn.XLOOKUP(orders!C404,customers!$A$2:$A$1001,customers!$B$2:$B$1001)</f>
        <v>Gale Croysdale</v>
      </c>
      <c r="G404" s="9" t="str">
        <f>IF(_xlfn.XLOOKUP(orders!C404,customers!$A$2:$A$1001,customers!$C$2:$C$1001,,,)=0,"",_xlfn.XLOOKUP(orders!C404,customers!$A$2:$A$1001,customers!$C$2:$C$1001,,,))</f>
        <v>gcroysdaleb6@nih.gov</v>
      </c>
      <c r="H404" s="9" t="str">
        <f>_xlfn.XLOOKUP(C404,customers!$A$2:$A$1001,customers!$G$2:$G$1001,"")</f>
        <v>United States</v>
      </c>
      <c r="I404" s="10" t="str">
        <f>INDEX(products!$A$2:$G$49,MATCH(orders!$D404,products!$A$2:$A$49,0),MATCH(orders!I$1,products!$A$1:$G$1,0))</f>
        <v>Rob</v>
      </c>
      <c r="J404" s="10" t="str">
        <f>INDEX(products!$A$2:$G$49,MATCH(orders!$D404,products!$A$2:$A$49,0),MATCH(orders!J$1,products!$A$1:$G$1,0))</f>
        <v>D</v>
      </c>
      <c r="K404" s="11">
        <f>INDEX(products!$A$2:$G$49,MATCH(orders!$D404,products!$A$2:$A$49,0),MATCH(orders!K$1,products!$A$1:$G$1,0))</f>
        <v>1</v>
      </c>
      <c r="L404" s="12">
        <f>INDEX(products!$A$2:$G$49,MATCH(orders!$D404,products!$A$2:$A$49,0),MATCH(orders!L$1,products!$A$1:$G$1,0))</f>
        <v>8.9499999999999993</v>
      </c>
      <c r="M404" s="12">
        <f t="shared" si="18"/>
        <v>26.849999999999998</v>
      </c>
      <c r="N404" s="10" t="str">
        <f t="shared" si="19"/>
        <v>Robusta</v>
      </c>
      <c r="O404" s="10" t="str">
        <f t="shared" si="20"/>
        <v>Dark</v>
      </c>
      <c r="P404" s="10" t="str">
        <f>_xlfn.XLOOKUP(Tableau1[[#This Row],[Customer ID]],customers!A$2:A$1001,customers!I$2:I$1001)</f>
        <v>Yes</v>
      </c>
    </row>
    <row r="405" spans="1:16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9" t="str">
        <f>_xlfn.XLOOKUP(orders!C405,customers!$A$2:$A$1001,customers!$B$2:$B$1001)</f>
        <v>Benedetto Gozzett</v>
      </c>
      <c r="G405" s="9" t="str">
        <f>IF(_xlfn.XLOOKUP(orders!C405,customers!$A$2:$A$1001,customers!$C$2:$C$1001,,,)=0,"",_xlfn.XLOOKUP(orders!C405,customers!$A$2:$A$1001,customers!$C$2:$C$1001,,,))</f>
        <v>bgozzettb7@github.com</v>
      </c>
      <c r="H405" s="9" t="str">
        <f>_xlfn.XLOOKUP(C405,customers!$A$2:$A$1001,customers!$G$2:$G$1001,"")</f>
        <v>United States</v>
      </c>
      <c r="I405" s="10" t="str">
        <f>INDEX(products!$A$2:$G$49,MATCH(orders!$D405,products!$A$2:$A$49,0),MATCH(orders!I$1,products!$A$1:$G$1,0))</f>
        <v>Lib</v>
      </c>
      <c r="J405" s="10" t="str">
        <f>INDEX(products!$A$2:$G$49,MATCH(orders!$D405,products!$A$2:$A$49,0),MATCH(orders!J$1,products!$A$1:$G$1,0))</f>
        <v>L</v>
      </c>
      <c r="K405" s="11">
        <f>INDEX(products!$A$2:$G$49,MATCH(orders!$D405,products!$A$2:$A$49,0),MATCH(orders!K$1,products!$A$1:$G$1,0))</f>
        <v>0.2</v>
      </c>
      <c r="L405" s="12">
        <f>INDEX(products!$A$2:$G$49,MATCH(orders!$D405,products!$A$2:$A$49,0),MATCH(orders!L$1,products!$A$1:$G$1,0))</f>
        <v>4.7549999999999999</v>
      </c>
      <c r="M405" s="12">
        <f t="shared" si="18"/>
        <v>9.51</v>
      </c>
      <c r="N405" s="10" t="str">
        <f t="shared" si="19"/>
        <v>Liberica</v>
      </c>
      <c r="O405" s="10" t="str">
        <f t="shared" si="20"/>
        <v>Light</v>
      </c>
      <c r="P405" s="10" t="str">
        <f>_xlfn.XLOOKUP(Tableau1[[#This Row],[Customer ID]],customers!A$2:A$1001,customers!I$2:I$1001)</f>
        <v>No</v>
      </c>
    </row>
    <row r="406" spans="1:16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9" t="str">
        <f>_xlfn.XLOOKUP(orders!C406,customers!$A$2:$A$1001,customers!$B$2:$B$1001)</f>
        <v>Tania Craggs</v>
      </c>
      <c r="G406" s="9" t="str">
        <f>IF(_xlfn.XLOOKUP(orders!C406,customers!$A$2:$A$1001,customers!$C$2:$C$1001,,,)=0,"",_xlfn.XLOOKUP(orders!C406,customers!$A$2:$A$1001,customers!$C$2:$C$1001,,,))</f>
        <v>tcraggsb8@house.gov</v>
      </c>
      <c r="H406" s="9" t="str">
        <f>_xlfn.XLOOKUP(C406,customers!$A$2:$A$1001,customers!$G$2:$G$1001,"")</f>
        <v>Ireland</v>
      </c>
      <c r="I406" s="10" t="str">
        <f>INDEX(products!$A$2:$G$49,MATCH(orders!$D406,products!$A$2:$A$49,0),MATCH(orders!I$1,products!$A$1:$G$1,0))</f>
        <v>Ara</v>
      </c>
      <c r="J406" s="10" t="str">
        <f>INDEX(products!$A$2:$G$49,MATCH(orders!$D406,products!$A$2:$A$49,0),MATCH(orders!J$1,products!$A$1:$G$1,0))</f>
        <v>D</v>
      </c>
      <c r="K406" s="11">
        <f>INDEX(products!$A$2:$G$49,MATCH(orders!$D406,products!$A$2:$A$49,0),MATCH(orders!K$1,products!$A$1:$G$1,0))</f>
        <v>1</v>
      </c>
      <c r="L406" s="12">
        <f>INDEX(products!$A$2:$G$49,MATCH(orders!$D406,products!$A$2:$A$49,0),MATCH(orders!L$1,products!$A$1:$G$1,0))</f>
        <v>9.9499999999999993</v>
      </c>
      <c r="M406" s="12">
        <f t="shared" si="18"/>
        <v>39.799999999999997</v>
      </c>
      <c r="N406" s="10" t="str">
        <f t="shared" si="19"/>
        <v>Arabica</v>
      </c>
      <c r="O406" s="10" t="str">
        <f t="shared" si="20"/>
        <v>Dark</v>
      </c>
      <c r="P406" s="10" t="str">
        <f>_xlfn.XLOOKUP(Tableau1[[#This Row],[Customer ID]],customers!A$2:A$1001,customers!I$2:I$1001)</f>
        <v>No</v>
      </c>
    </row>
    <row r="407" spans="1:16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9" t="str">
        <f>_xlfn.XLOOKUP(orders!C407,customers!$A$2:$A$1001,customers!$B$2:$B$1001)</f>
        <v>Leonie Cullrford</v>
      </c>
      <c r="G407" s="9" t="str">
        <f>IF(_xlfn.XLOOKUP(orders!C407,customers!$A$2:$A$1001,customers!$C$2:$C$1001,,,)=0,"",_xlfn.XLOOKUP(orders!C407,customers!$A$2:$A$1001,customers!$C$2:$C$1001,,,))</f>
        <v>lcullrfordb9@xing.com</v>
      </c>
      <c r="H407" s="9" t="str">
        <f>_xlfn.XLOOKUP(C407,customers!$A$2:$A$1001,customers!$G$2:$G$1001,"")</f>
        <v>United States</v>
      </c>
      <c r="I407" s="10" t="str">
        <f>INDEX(products!$A$2:$G$49,MATCH(orders!$D407,products!$A$2:$A$49,0),MATCH(orders!I$1,products!$A$1:$G$1,0))</f>
        <v>Exc</v>
      </c>
      <c r="J407" s="10" t="str">
        <f>INDEX(products!$A$2:$G$49,MATCH(orders!$D407,products!$A$2:$A$49,0),MATCH(orders!J$1,products!$A$1:$G$1,0))</f>
        <v>M</v>
      </c>
      <c r="K407" s="11">
        <f>INDEX(products!$A$2:$G$49,MATCH(orders!$D407,products!$A$2:$A$49,0),MATCH(orders!K$1,products!$A$1:$G$1,0))</f>
        <v>0.5</v>
      </c>
      <c r="L407" s="12">
        <f>INDEX(products!$A$2:$G$49,MATCH(orders!$D407,products!$A$2:$A$49,0),MATCH(orders!L$1,products!$A$1:$G$1,0))</f>
        <v>8.25</v>
      </c>
      <c r="M407" s="12">
        <f t="shared" si="18"/>
        <v>24.75</v>
      </c>
      <c r="N407" s="10" t="str">
        <f t="shared" si="19"/>
        <v>Excelsa</v>
      </c>
      <c r="O407" s="10" t="str">
        <f t="shared" si="20"/>
        <v>Medium</v>
      </c>
      <c r="P407" s="10" t="str">
        <f>_xlfn.XLOOKUP(Tableau1[[#This Row],[Customer ID]],customers!A$2:A$1001,customers!I$2:I$1001)</f>
        <v>Yes</v>
      </c>
    </row>
    <row r="408" spans="1:16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9" t="str">
        <f>_xlfn.XLOOKUP(orders!C408,customers!$A$2:$A$1001,customers!$B$2:$B$1001)</f>
        <v>Auguste Rizon</v>
      </c>
      <c r="G408" s="9" t="str">
        <f>IF(_xlfn.XLOOKUP(orders!C408,customers!$A$2:$A$1001,customers!$C$2:$C$1001,,,)=0,"",_xlfn.XLOOKUP(orders!C408,customers!$A$2:$A$1001,customers!$C$2:$C$1001,,,))</f>
        <v>arizonba@xing.com</v>
      </c>
      <c r="H408" s="9" t="str">
        <f>_xlfn.XLOOKUP(C408,customers!$A$2:$A$1001,customers!$G$2:$G$1001,"")</f>
        <v>United States</v>
      </c>
      <c r="I408" s="10" t="str">
        <f>INDEX(products!$A$2:$G$49,MATCH(orders!$D408,products!$A$2:$A$49,0),MATCH(orders!I$1,products!$A$1:$G$1,0))</f>
        <v>Exc</v>
      </c>
      <c r="J408" s="10" t="str">
        <f>INDEX(products!$A$2:$G$49,MATCH(orders!$D408,products!$A$2:$A$49,0),MATCH(orders!J$1,products!$A$1:$G$1,0))</f>
        <v>M</v>
      </c>
      <c r="K408" s="11">
        <f>INDEX(products!$A$2:$G$49,MATCH(orders!$D408,products!$A$2:$A$49,0),MATCH(orders!K$1,products!$A$1:$G$1,0))</f>
        <v>1</v>
      </c>
      <c r="L408" s="12">
        <f>INDEX(products!$A$2:$G$49,MATCH(orders!$D408,products!$A$2:$A$49,0),MATCH(orders!L$1,products!$A$1:$G$1,0))</f>
        <v>13.75</v>
      </c>
      <c r="M408" s="12">
        <f t="shared" si="18"/>
        <v>68.75</v>
      </c>
      <c r="N408" s="10" t="str">
        <f t="shared" si="19"/>
        <v>Excelsa</v>
      </c>
      <c r="O408" s="10" t="str">
        <f t="shared" si="20"/>
        <v>Medium</v>
      </c>
      <c r="P408" s="10" t="str">
        <f>_xlfn.XLOOKUP(Tableau1[[#This Row],[Customer ID]],customers!A$2:A$1001,customers!I$2:I$1001)</f>
        <v>Yes</v>
      </c>
    </row>
    <row r="409" spans="1:16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9" t="str">
        <f>_xlfn.XLOOKUP(orders!C409,customers!$A$2:$A$1001,customers!$B$2:$B$1001)</f>
        <v>Lorin Guerrazzi</v>
      </c>
      <c r="G409" s="9" t="str">
        <f>IF(_xlfn.XLOOKUP(orders!C409,customers!$A$2:$A$1001,customers!$C$2:$C$1001,,,)=0,"",_xlfn.XLOOKUP(orders!C409,customers!$A$2:$A$1001,customers!$C$2:$C$1001,,,))</f>
        <v/>
      </c>
      <c r="H409" s="9" t="str">
        <f>_xlfn.XLOOKUP(C409,customers!$A$2:$A$1001,customers!$G$2:$G$1001,"")</f>
        <v>Ireland</v>
      </c>
      <c r="I409" s="10" t="str">
        <f>INDEX(products!$A$2:$G$49,MATCH(orders!$D409,products!$A$2:$A$49,0),MATCH(orders!I$1,products!$A$1:$G$1,0))</f>
        <v>Exc</v>
      </c>
      <c r="J409" s="10" t="str">
        <f>INDEX(products!$A$2:$G$49,MATCH(orders!$D409,products!$A$2:$A$49,0),MATCH(orders!J$1,products!$A$1:$G$1,0))</f>
        <v>M</v>
      </c>
      <c r="K409" s="11">
        <f>INDEX(products!$A$2:$G$49,MATCH(orders!$D409,products!$A$2:$A$49,0),MATCH(orders!K$1,products!$A$1:$G$1,0))</f>
        <v>0.5</v>
      </c>
      <c r="L409" s="12">
        <f>INDEX(products!$A$2:$G$49,MATCH(orders!$D409,products!$A$2:$A$49,0),MATCH(orders!L$1,products!$A$1:$G$1,0))</f>
        <v>8.25</v>
      </c>
      <c r="M409" s="12">
        <f t="shared" si="18"/>
        <v>49.5</v>
      </c>
      <c r="N409" s="10" t="str">
        <f t="shared" si="19"/>
        <v>Excelsa</v>
      </c>
      <c r="O409" s="10" t="str">
        <f t="shared" si="20"/>
        <v>Medium</v>
      </c>
      <c r="P409" s="10" t="str">
        <f>_xlfn.XLOOKUP(Tableau1[[#This Row],[Customer ID]],customers!A$2:A$1001,customers!I$2:I$1001)</f>
        <v>No</v>
      </c>
    </row>
    <row r="410" spans="1:16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9" t="str">
        <f>_xlfn.XLOOKUP(orders!C410,customers!$A$2:$A$1001,customers!$B$2:$B$1001)</f>
        <v>Felice Miell</v>
      </c>
      <c r="G410" s="9" t="str">
        <f>IF(_xlfn.XLOOKUP(orders!C410,customers!$A$2:$A$1001,customers!$C$2:$C$1001,,,)=0,"",_xlfn.XLOOKUP(orders!C410,customers!$A$2:$A$1001,customers!$C$2:$C$1001,,,))</f>
        <v>fmiellbc@spiegel.de</v>
      </c>
      <c r="H410" s="9" t="str">
        <f>_xlfn.XLOOKUP(C410,customers!$A$2:$A$1001,customers!$G$2:$G$1001,"")</f>
        <v>United States</v>
      </c>
      <c r="I410" s="10" t="str">
        <f>INDEX(products!$A$2:$G$49,MATCH(orders!$D410,products!$A$2:$A$49,0),MATCH(orders!I$1,products!$A$1:$G$1,0))</f>
        <v>Ara</v>
      </c>
      <c r="J410" s="10" t="str">
        <f>INDEX(products!$A$2:$G$49,MATCH(orders!$D410,products!$A$2:$A$49,0),MATCH(orders!J$1,products!$A$1:$G$1,0))</f>
        <v>M</v>
      </c>
      <c r="K410" s="11">
        <f>INDEX(products!$A$2:$G$49,MATCH(orders!$D410,products!$A$2:$A$49,0),MATCH(orders!K$1,products!$A$1:$G$1,0))</f>
        <v>2.5</v>
      </c>
      <c r="L410" s="12">
        <f>INDEX(products!$A$2:$G$49,MATCH(orders!$D410,products!$A$2:$A$49,0),MATCH(orders!L$1,products!$A$1:$G$1,0))</f>
        <v>25.874999999999996</v>
      </c>
      <c r="M410" s="12">
        <f t="shared" si="18"/>
        <v>51.749999999999993</v>
      </c>
      <c r="N410" s="10" t="str">
        <f t="shared" si="19"/>
        <v>Arabica</v>
      </c>
      <c r="O410" s="10" t="str">
        <f t="shared" si="20"/>
        <v>Medium</v>
      </c>
      <c r="P410" s="10" t="str">
        <f>_xlfn.XLOOKUP(Tableau1[[#This Row],[Customer ID]],customers!A$2:A$1001,customers!I$2:I$1001)</f>
        <v>Yes</v>
      </c>
    </row>
    <row r="411" spans="1:16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9" t="str">
        <f>_xlfn.XLOOKUP(orders!C411,customers!$A$2:$A$1001,customers!$B$2:$B$1001)</f>
        <v>Hamish Skeech</v>
      </c>
      <c r="G411" s="9" t="str">
        <f>IF(_xlfn.XLOOKUP(orders!C411,customers!$A$2:$A$1001,customers!$C$2:$C$1001,,,)=0,"",_xlfn.XLOOKUP(orders!C411,customers!$A$2:$A$1001,customers!$C$2:$C$1001,,,))</f>
        <v/>
      </c>
      <c r="H411" s="9" t="str">
        <f>_xlfn.XLOOKUP(C411,customers!$A$2:$A$1001,customers!$G$2:$G$1001,"")</f>
        <v>Ireland</v>
      </c>
      <c r="I411" s="10" t="str">
        <f>INDEX(products!$A$2:$G$49,MATCH(orders!$D411,products!$A$2:$A$49,0),MATCH(orders!I$1,products!$A$1:$G$1,0))</f>
        <v>Lib</v>
      </c>
      <c r="J411" s="10" t="str">
        <f>INDEX(products!$A$2:$G$49,MATCH(orders!$D411,products!$A$2:$A$49,0),MATCH(orders!J$1,products!$A$1:$G$1,0))</f>
        <v>L</v>
      </c>
      <c r="K411" s="11">
        <f>INDEX(products!$A$2:$G$49,MATCH(orders!$D411,products!$A$2:$A$49,0),MATCH(orders!K$1,products!$A$1:$G$1,0))</f>
        <v>1</v>
      </c>
      <c r="L411" s="12">
        <f>INDEX(products!$A$2:$G$49,MATCH(orders!$D411,products!$A$2:$A$49,0),MATCH(orders!L$1,products!$A$1:$G$1,0))</f>
        <v>15.85</v>
      </c>
      <c r="M411" s="12">
        <f t="shared" si="18"/>
        <v>47.55</v>
      </c>
      <c r="N411" s="10" t="str">
        <f t="shared" si="19"/>
        <v>Liberica</v>
      </c>
      <c r="O411" s="10" t="str">
        <f t="shared" si="20"/>
        <v>Light</v>
      </c>
      <c r="P411" s="10" t="str">
        <f>_xlfn.XLOOKUP(Tableau1[[#This Row],[Customer ID]],customers!A$2:A$1001,customers!I$2:I$1001)</f>
        <v>Yes</v>
      </c>
    </row>
    <row r="412" spans="1:16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9" t="str">
        <f>_xlfn.XLOOKUP(orders!C412,customers!$A$2:$A$1001,customers!$B$2:$B$1001)</f>
        <v>Giordano Lorenzin</v>
      </c>
      <c r="G412" s="9" t="str">
        <f>IF(_xlfn.XLOOKUP(orders!C412,customers!$A$2:$A$1001,customers!$C$2:$C$1001,,,)=0,"",_xlfn.XLOOKUP(orders!C412,customers!$A$2:$A$1001,customers!$C$2:$C$1001,,,))</f>
        <v/>
      </c>
      <c r="H412" s="9" t="str">
        <f>_xlfn.XLOOKUP(C412,customers!$A$2:$A$1001,customers!$G$2:$G$1001,"")</f>
        <v>United States</v>
      </c>
      <c r="I412" s="10" t="str">
        <f>INDEX(products!$A$2:$G$49,MATCH(orders!$D412,products!$A$2:$A$49,0),MATCH(orders!I$1,products!$A$1:$G$1,0))</f>
        <v>Ara</v>
      </c>
      <c r="J412" s="10" t="str">
        <f>INDEX(products!$A$2:$G$49,MATCH(orders!$D412,products!$A$2:$A$49,0),MATCH(orders!J$1,products!$A$1:$G$1,0))</f>
        <v>L</v>
      </c>
      <c r="K412" s="11">
        <f>INDEX(products!$A$2:$G$49,MATCH(orders!$D412,products!$A$2:$A$49,0),MATCH(orders!K$1,products!$A$1:$G$1,0))</f>
        <v>0.2</v>
      </c>
      <c r="L412" s="12">
        <f>INDEX(products!$A$2:$G$49,MATCH(orders!$D412,products!$A$2:$A$49,0),MATCH(orders!L$1,products!$A$1:$G$1,0))</f>
        <v>3.8849999999999998</v>
      </c>
      <c r="M412" s="12">
        <f t="shared" si="18"/>
        <v>15.54</v>
      </c>
      <c r="N412" s="10" t="str">
        <f t="shared" si="19"/>
        <v>Arabica</v>
      </c>
      <c r="O412" s="10" t="str">
        <f t="shared" si="20"/>
        <v>Light</v>
      </c>
      <c r="P412" s="10" t="str">
        <f>_xlfn.XLOOKUP(Tableau1[[#This Row],[Customer ID]],customers!A$2:A$1001,customers!I$2:I$1001)</f>
        <v>No</v>
      </c>
    </row>
    <row r="413" spans="1:16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9" t="str">
        <f>_xlfn.XLOOKUP(orders!C413,customers!$A$2:$A$1001,customers!$B$2:$B$1001)</f>
        <v>Harwilll Bishell</v>
      </c>
      <c r="G413" s="9" t="str">
        <f>IF(_xlfn.XLOOKUP(orders!C413,customers!$A$2:$A$1001,customers!$C$2:$C$1001,,,)=0,"",_xlfn.XLOOKUP(orders!C413,customers!$A$2:$A$1001,customers!$C$2:$C$1001,,,))</f>
        <v/>
      </c>
      <c r="H413" s="9" t="str">
        <f>_xlfn.XLOOKUP(C413,customers!$A$2:$A$1001,customers!$G$2:$G$1001,"")</f>
        <v>United States</v>
      </c>
      <c r="I413" s="10" t="str">
        <f>INDEX(products!$A$2:$G$49,MATCH(orders!$D413,products!$A$2:$A$49,0),MATCH(orders!I$1,products!$A$1:$G$1,0))</f>
        <v>Lib</v>
      </c>
      <c r="J413" s="10" t="str">
        <f>INDEX(products!$A$2:$G$49,MATCH(orders!$D413,products!$A$2:$A$49,0),MATCH(orders!J$1,products!$A$1:$G$1,0))</f>
        <v>M</v>
      </c>
      <c r="K413" s="11">
        <f>INDEX(products!$A$2:$G$49,MATCH(orders!$D413,products!$A$2:$A$49,0),MATCH(orders!K$1,products!$A$1:$G$1,0))</f>
        <v>1</v>
      </c>
      <c r="L413" s="12">
        <f>INDEX(products!$A$2:$G$49,MATCH(orders!$D413,products!$A$2:$A$49,0),MATCH(orders!L$1,products!$A$1:$G$1,0))</f>
        <v>14.55</v>
      </c>
      <c r="M413" s="12">
        <f t="shared" si="18"/>
        <v>87.300000000000011</v>
      </c>
      <c r="N413" s="10" t="str">
        <f t="shared" si="19"/>
        <v>Liberica</v>
      </c>
      <c r="O413" s="10" t="str">
        <f t="shared" si="20"/>
        <v>Medium</v>
      </c>
      <c r="P413" s="10" t="str">
        <f>_xlfn.XLOOKUP(Tableau1[[#This Row],[Customer ID]],customers!A$2:A$1001,customers!I$2:I$1001)</f>
        <v>Yes</v>
      </c>
    </row>
    <row r="414" spans="1:16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9" t="str">
        <f>_xlfn.XLOOKUP(orders!C414,customers!$A$2:$A$1001,customers!$B$2:$B$1001)</f>
        <v>Freeland Missenden</v>
      </c>
      <c r="G414" s="9" t="str">
        <f>IF(_xlfn.XLOOKUP(orders!C414,customers!$A$2:$A$1001,customers!$C$2:$C$1001,,,)=0,"",_xlfn.XLOOKUP(orders!C414,customers!$A$2:$A$1001,customers!$C$2:$C$1001,,,))</f>
        <v/>
      </c>
      <c r="H414" s="9" t="str">
        <f>_xlfn.XLOOKUP(C414,customers!$A$2:$A$1001,customers!$G$2:$G$1001,"")</f>
        <v>United States</v>
      </c>
      <c r="I414" s="10" t="str">
        <f>INDEX(products!$A$2:$G$49,MATCH(orders!$D414,products!$A$2:$A$49,0),MATCH(orders!I$1,products!$A$1:$G$1,0))</f>
        <v>Ara</v>
      </c>
      <c r="J414" s="10" t="str">
        <f>INDEX(products!$A$2:$G$49,MATCH(orders!$D414,products!$A$2:$A$49,0),MATCH(orders!J$1,products!$A$1:$G$1,0))</f>
        <v>M</v>
      </c>
      <c r="K414" s="11">
        <f>INDEX(products!$A$2:$G$49,MATCH(orders!$D414,products!$A$2:$A$49,0),MATCH(orders!K$1,products!$A$1:$G$1,0))</f>
        <v>1</v>
      </c>
      <c r="L414" s="12">
        <f>INDEX(products!$A$2:$G$49,MATCH(orders!$D414,products!$A$2:$A$49,0),MATCH(orders!L$1,products!$A$1:$G$1,0))</f>
        <v>11.25</v>
      </c>
      <c r="M414" s="12">
        <f t="shared" si="18"/>
        <v>56.25</v>
      </c>
      <c r="N414" s="10" t="str">
        <f t="shared" si="19"/>
        <v>Arabica</v>
      </c>
      <c r="O414" s="10" t="str">
        <f t="shared" si="20"/>
        <v>Medium</v>
      </c>
      <c r="P414" s="10" t="str">
        <f>_xlfn.XLOOKUP(Tableau1[[#This Row],[Customer ID]],customers!A$2:A$1001,customers!I$2:I$1001)</f>
        <v>Yes</v>
      </c>
    </row>
    <row r="415" spans="1:16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9" t="str">
        <f>_xlfn.XLOOKUP(orders!C415,customers!$A$2:$A$1001,customers!$B$2:$B$1001)</f>
        <v>Waylan Springall</v>
      </c>
      <c r="G415" s="9" t="str">
        <f>IF(_xlfn.XLOOKUP(orders!C415,customers!$A$2:$A$1001,customers!$C$2:$C$1001,,,)=0,"",_xlfn.XLOOKUP(orders!C415,customers!$A$2:$A$1001,customers!$C$2:$C$1001,,,))</f>
        <v>wspringallbh@jugem.jp</v>
      </c>
      <c r="H415" s="9" t="str">
        <f>_xlfn.XLOOKUP(C415,customers!$A$2:$A$1001,customers!$G$2:$G$1001,"")</f>
        <v>United States</v>
      </c>
      <c r="I415" s="10" t="str">
        <f>INDEX(products!$A$2:$G$49,MATCH(orders!$D415,products!$A$2:$A$49,0),MATCH(orders!I$1,products!$A$1:$G$1,0))</f>
        <v>Lib</v>
      </c>
      <c r="J415" s="10" t="str">
        <f>INDEX(products!$A$2:$G$49,MATCH(orders!$D415,products!$A$2:$A$49,0),MATCH(orders!J$1,products!$A$1:$G$1,0))</f>
        <v>L</v>
      </c>
      <c r="K415" s="11">
        <f>INDEX(products!$A$2:$G$49,MATCH(orders!$D415,products!$A$2:$A$49,0),MATCH(orders!K$1,products!$A$1:$G$1,0))</f>
        <v>2.5</v>
      </c>
      <c r="L415" s="12">
        <f>INDEX(products!$A$2:$G$49,MATCH(orders!$D415,products!$A$2:$A$49,0),MATCH(orders!L$1,products!$A$1:$G$1,0))</f>
        <v>36.454999999999998</v>
      </c>
      <c r="M415" s="12">
        <f t="shared" si="18"/>
        <v>36.454999999999998</v>
      </c>
      <c r="N415" s="10" t="str">
        <f t="shared" si="19"/>
        <v>Liberica</v>
      </c>
      <c r="O415" s="10" t="str">
        <f t="shared" si="20"/>
        <v>Light</v>
      </c>
      <c r="P415" s="10" t="str">
        <f>_xlfn.XLOOKUP(Tableau1[[#This Row],[Customer ID]],customers!A$2:A$1001,customers!I$2:I$1001)</f>
        <v>Yes</v>
      </c>
    </row>
    <row r="416" spans="1:16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9" t="str">
        <f>_xlfn.XLOOKUP(orders!C416,customers!$A$2:$A$1001,customers!$B$2:$B$1001)</f>
        <v>Kiri Avramow</v>
      </c>
      <c r="G416" s="9" t="str">
        <f>IF(_xlfn.XLOOKUP(orders!C416,customers!$A$2:$A$1001,customers!$C$2:$C$1001,,,)=0,"",_xlfn.XLOOKUP(orders!C416,customers!$A$2:$A$1001,customers!$C$2:$C$1001,,,))</f>
        <v/>
      </c>
      <c r="H416" s="9" t="str">
        <f>_xlfn.XLOOKUP(C416,customers!$A$2:$A$1001,customers!$G$2:$G$1001,"")</f>
        <v>United States</v>
      </c>
      <c r="I416" s="10" t="str">
        <f>INDEX(products!$A$2:$G$49,MATCH(orders!$D416,products!$A$2:$A$49,0),MATCH(orders!I$1,products!$A$1:$G$1,0))</f>
        <v>Rob</v>
      </c>
      <c r="J416" s="10" t="str">
        <f>INDEX(products!$A$2:$G$49,MATCH(orders!$D416,products!$A$2:$A$49,0),MATCH(orders!J$1,products!$A$1:$G$1,0))</f>
        <v>L</v>
      </c>
      <c r="K416" s="11">
        <f>INDEX(products!$A$2:$G$49,MATCH(orders!$D416,products!$A$2:$A$49,0),MATCH(orders!K$1,products!$A$1:$G$1,0))</f>
        <v>0.2</v>
      </c>
      <c r="L416" s="12">
        <f>INDEX(products!$A$2:$G$49,MATCH(orders!$D416,products!$A$2:$A$49,0),MATCH(orders!L$1,products!$A$1:$G$1,0))</f>
        <v>3.5849999999999995</v>
      </c>
      <c r="M416" s="12">
        <f t="shared" si="18"/>
        <v>10.754999999999999</v>
      </c>
      <c r="N416" s="10" t="str">
        <f t="shared" si="19"/>
        <v>Robusta</v>
      </c>
      <c r="O416" s="10" t="str">
        <f t="shared" si="20"/>
        <v>Light</v>
      </c>
      <c r="P416" s="10" t="str">
        <f>_xlfn.XLOOKUP(Tableau1[[#This Row],[Customer ID]],customers!A$2:A$1001,customers!I$2:I$1001)</f>
        <v>Yes</v>
      </c>
    </row>
    <row r="417" spans="1:16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9" t="str">
        <f>_xlfn.XLOOKUP(orders!C417,customers!$A$2:$A$1001,customers!$B$2:$B$1001)</f>
        <v>Gregg Hawkyens</v>
      </c>
      <c r="G417" s="9" t="str">
        <f>IF(_xlfn.XLOOKUP(orders!C417,customers!$A$2:$A$1001,customers!$C$2:$C$1001,,,)=0,"",_xlfn.XLOOKUP(orders!C417,customers!$A$2:$A$1001,customers!$C$2:$C$1001,,,))</f>
        <v>ghawkyensbj@census.gov</v>
      </c>
      <c r="H417" s="9" t="str">
        <f>_xlfn.XLOOKUP(C417,customers!$A$2:$A$1001,customers!$G$2:$G$1001,"")</f>
        <v>United States</v>
      </c>
      <c r="I417" s="10" t="str">
        <f>INDEX(products!$A$2:$G$49,MATCH(orders!$D417,products!$A$2:$A$49,0),MATCH(orders!I$1,products!$A$1:$G$1,0))</f>
        <v>Rob</v>
      </c>
      <c r="J417" s="10" t="str">
        <f>INDEX(products!$A$2:$G$49,MATCH(orders!$D417,products!$A$2:$A$49,0),MATCH(orders!J$1,products!$A$1:$G$1,0))</f>
        <v>M</v>
      </c>
      <c r="K417" s="11">
        <f>INDEX(products!$A$2:$G$49,MATCH(orders!$D417,products!$A$2:$A$49,0),MATCH(orders!K$1,products!$A$1:$G$1,0))</f>
        <v>0.2</v>
      </c>
      <c r="L417" s="12">
        <f>INDEX(products!$A$2:$G$49,MATCH(orders!$D417,products!$A$2:$A$49,0),MATCH(orders!L$1,products!$A$1:$G$1,0))</f>
        <v>2.9849999999999999</v>
      </c>
      <c r="M417" s="12">
        <f t="shared" si="18"/>
        <v>8.9550000000000001</v>
      </c>
      <c r="N417" s="10" t="str">
        <f t="shared" si="19"/>
        <v>Robusta</v>
      </c>
      <c r="O417" s="10" t="str">
        <f t="shared" si="20"/>
        <v>Medium</v>
      </c>
      <c r="P417" s="10" t="str">
        <f>_xlfn.XLOOKUP(Tableau1[[#This Row],[Customer ID]],customers!A$2:A$1001,customers!I$2:I$1001)</f>
        <v>No</v>
      </c>
    </row>
    <row r="418" spans="1:16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9" t="str">
        <f>_xlfn.XLOOKUP(orders!C418,customers!$A$2:$A$1001,customers!$B$2:$B$1001)</f>
        <v>Reggis Pracy</v>
      </c>
      <c r="G418" s="9" t="str">
        <f>IF(_xlfn.XLOOKUP(orders!C418,customers!$A$2:$A$1001,customers!$C$2:$C$1001,,,)=0,"",_xlfn.XLOOKUP(orders!C418,customers!$A$2:$A$1001,customers!$C$2:$C$1001,,,))</f>
        <v/>
      </c>
      <c r="H418" s="9" t="str">
        <f>_xlfn.XLOOKUP(C418,customers!$A$2:$A$1001,customers!$G$2:$G$1001,"")</f>
        <v>United States</v>
      </c>
      <c r="I418" s="10" t="str">
        <f>INDEX(products!$A$2:$G$49,MATCH(orders!$D418,products!$A$2:$A$49,0),MATCH(orders!I$1,products!$A$1:$G$1,0))</f>
        <v>Ara</v>
      </c>
      <c r="J418" s="10" t="str">
        <f>INDEX(products!$A$2:$G$49,MATCH(orders!$D418,products!$A$2:$A$49,0),MATCH(orders!J$1,products!$A$1:$G$1,0))</f>
        <v>L</v>
      </c>
      <c r="K418" s="11">
        <f>INDEX(products!$A$2:$G$49,MATCH(orders!$D418,products!$A$2:$A$49,0),MATCH(orders!K$1,products!$A$1:$G$1,0))</f>
        <v>0.5</v>
      </c>
      <c r="L418" s="12">
        <f>INDEX(products!$A$2:$G$49,MATCH(orders!$D418,products!$A$2:$A$49,0),MATCH(orders!L$1,products!$A$1:$G$1,0))</f>
        <v>7.77</v>
      </c>
      <c r="M418" s="12">
        <f t="shared" si="18"/>
        <v>23.31</v>
      </c>
      <c r="N418" s="10" t="str">
        <f t="shared" si="19"/>
        <v>Arabica</v>
      </c>
      <c r="O418" s="10" t="str">
        <f t="shared" si="20"/>
        <v>Light</v>
      </c>
      <c r="P418" s="10" t="str">
        <f>_xlfn.XLOOKUP(Tableau1[[#This Row],[Customer ID]],customers!A$2:A$1001,customers!I$2:I$1001)</f>
        <v>Yes</v>
      </c>
    </row>
    <row r="419" spans="1:16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9" t="str">
        <f>_xlfn.XLOOKUP(orders!C419,customers!$A$2:$A$1001,customers!$B$2:$B$1001)</f>
        <v>Paula Denis</v>
      </c>
      <c r="G419" s="9" t="str">
        <f>IF(_xlfn.XLOOKUP(orders!C419,customers!$A$2:$A$1001,customers!$C$2:$C$1001,,,)=0,"",_xlfn.XLOOKUP(orders!C419,customers!$A$2:$A$1001,customers!$C$2:$C$1001,,,))</f>
        <v/>
      </c>
      <c r="H419" s="9" t="str">
        <f>_xlfn.XLOOKUP(C419,customers!$A$2:$A$1001,customers!$G$2:$G$1001,"")</f>
        <v>United States</v>
      </c>
      <c r="I419" s="10" t="str">
        <f>INDEX(products!$A$2:$G$49,MATCH(orders!$D419,products!$A$2:$A$49,0),MATCH(orders!I$1,products!$A$1:$G$1,0))</f>
        <v>Ara</v>
      </c>
      <c r="J419" s="10" t="str">
        <f>INDEX(products!$A$2:$G$49,MATCH(orders!$D419,products!$A$2:$A$49,0),MATCH(orders!J$1,products!$A$1:$G$1,0))</f>
        <v>L</v>
      </c>
      <c r="K419" s="11">
        <f>INDEX(products!$A$2:$G$49,MATCH(orders!$D419,products!$A$2:$A$49,0),MATCH(orders!K$1,products!$A$1:$G$1,0))</f>
        <v>2.5</v>
      </c>
      <c r="L419" s="12">
        <f>INDEX(products!$A$2:$G$49,MATCH(orders!$D419,products!$A$2:$A$49,0),MATCH(orders!L$1,products!$A$1:$G$1,0))</f>
        <v>29.784999999999997</v>
      </c>
      <c r="M419" s="12">
        <f t="shared" si="18"/>
        <v>29.784999999999997</v>
      </c>
      <c r="N419" s="10" t="str">
        <f t="shared" si="19"/>
        <v>Arabica</v>
      </c>
      <c r="O419" s="10" t="str">
        <f t="shared" si="20"/>
        <v>Light</v>
      </c>
      <c r="P419" s="10" t="str">
        <f>_xlfn.XLOOKUP(Tableau1[[#This Row],[Customer ID]],customers!A$2:A$1001,customers!I$2:I$1001)</f>
        <v>Yes</v>
      </c>
    </row>
    <row r="420" spans="1:16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9" t="str">
        <f>_xlfn.XLOOKUP(orders!C420,customers!$A$2:$A$1001,customers!$B$2:$B$1001)</f>
        <v>Broderick McGilvra</v>
      </c>
      <c r="G420" s="9" t="str">
        <f>IF(_xlfn.XLOOKUP(orders!C420,customers!$A$2:$A$1001,customers!$C$2:$C$1001,,,)=0,"",_xlfn.XLOOKUP(orders!C420,customers!$A$2:$A$1001,customers!$C$2:$C$1001,,,))</f>
        <v>bmcgilvrabm@so-net.ne.jp</v>
      </c>
      <c r="H420" s="9" t="str">
        <f>_xlfn.XLOOKUP(C420,customers!$A$2:$A$1001,customers!$G$2:$G$1001,"")</f>
        <v>United States</v>
      </c>
      <c r="I420" s="10" t="str">
        <f>INDEX(products!$A$2:$G$49,MATCH(orders!$D420,products!$A$2:$A$49,0),MATCH(orders!I$1,products!$A$1:$G$1,0))</f>
        <v>Ara</v>
      </c>
      <c r="J420" s="10" t="str">
        <f>INDEX(products!$A$2:$G$49,MATCH(orders!$D420,products!$A$2:$A$49,0),MATCH(orders!J$1,products!$A$1:$G$1,0))</f>
        <v>L</v>
      </c>
      <c r="K420" s="11">
        <f>INDEX(products!$A$2:$G$49,MATCH(orders!$D420,products!$A$2:$A$49,0),MATCH(orders!K$1,products!$A$1:$G$1,0))</f>
        <v>2.5</v>
      </c>
      <c r="L420" s="12">
        <f>INDEX(products!$A$2:$G$49,MATCH(orders!$D420,products!$A$2:$A$49,0),MATCH(orders!L$1,products!$A$1:$G$1,0))</f>
        <v>29.784999999999997</v>
      </c>
      <c r="M420" s="12">
        <f t="shared" si="18"/>
        <v>148.92499999999998</v>
      </c>
      <c r="N420" s="10" t="str">
        <f t="shared" si="19"/>
        <v>Arabica</v>
      </c>
      <c r="O420" s="10" t="str">
        <f t="shared" si="20"/>
        <v>Light</v>
      </c>
      <c r="P420" s="10" t="str">
        <f>_xlfn.XLOOKUP(Tableau1[[#This Row],[Customer ID]],customers!A$2:A$1001,customers!I$2:I$1001)</f>
        <v>Yes</v>
      </c>
    </row>
    <row r="421" spans="1:16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9" t="str">
        <f>_xlfn.XLOOKUP(orders!C421,customers!$A$2:$A$1001,customers!$B$2:$B$1001)</f>
        <v>Annabella Danzey</v>
      </c>
      <c r="G421" s="9" t="str">
        <f>IF(_xlfn.XLOOKUP(orders!C421,customers!$A$2:$A$1001,customers!$C$2:$C$1001,,,)=0,"",_xlfn.XLOOKUP(orders!C421,customers!$A$2:$A$1001,customers!$C$2:$C$1001,,,))</f>
        <v>adanzeybn@github.com</v>
      </c>
      <c r="H421" s="9" t="str">
        <f>_xlfn.XLOOKUP(C421,customers!$A$2:$A$1001,customers!$G$2:$G$1001,"")</f>
        <v>United States</v>
      </c>
      <c r="I421" s="10" t="str">
        <f>INDEX(products!$A$2:$G$49,MATCH(orders!$D421,products!$A$2:$A$49,0),MATCH(orders!I$1,products!$A$1:$G$1,0))</f>
        <v>Lib</v>
      </c>
      <c r="J421" s="10" t="str">
        <f>INDEX(products!$A$2:$G$49,MATCH(orders!$D421,products!$A$2:$A$49,0),MATCH(orders!J$1,products!$A$1:$G$1,0))</f>
        <v>M</v>
      </c>
      <c r="K421" s="11">
        <f>INDEX(products!$A$2:$G$49,MATCH(orders!$D421,products!$A$2:$A$49,0),MATCH(orders!K$1,products!$A$1:$G$1,0))</f>
        <v>0.5</v>
      </c>
      <c r="L421" s="12">
        <f>INDEX(products!$A$2:$G$49,MATCH(orders!$D421,products!$A$2:$A$49,0),MATCH(orders!L$1,products!$A$1:$G$1,0))</f>
        <v>8.73</v>
      </c>
      <c r="M421" s="12">
        <f t="shared" si="18"/>
        <v>8.73</v>
      </c>
      <c r="N421" s="10" t="str">
        <f t="shared" si="19"/>
        <v>Liberica</v>
      </c>
      <c r="O421" s="10" t="str">
        <f t="shared" si="20"/>
        <v>Medium</v>
      </c>
      <c r="P421" s="10" t="str">
        <f>_xlfn.XLOOKUP(Tableau1[[#This Row],[Customer ID]],customers!A$2:A$1001,customers!I$2:I$1001)</f>
        <v>Yes</v>
      </c>
    </row>
    <row r="422" spans="1:16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9" t="str">
        <f>_xlfn.XLOOKUP(orders!C422,customers!$A$2:$A$1001,customers!$B$2:$B$1001)</f>
        <v>Terri Farra</v>
      </c>
      <c r="G422" s="9" t="str">
        <f>IF(_xlfn.XLOOKUP(orders!C422,customers!$A$2:$A$1001,customers!$C$2:$C$1001,,,)=0,"",_xlfn.XLOOKUP(orders!C422,customers!$A$2:$A$1001,customers!$C$2:$C$1001,,,))</f>
        <v>tfarraac@behance.net</v>
      </c>
      <c r="H422" s="9" t="str">
        <f>_xlfn.XLOOKUP(C422,customers!$A$2:$A$1001,customers!$G$2:$G$1001,"")</f>
        <v>United States</v>
      </c>
      <c r="I422" s="10" t="str">
        <f>INDEX(products!$A$2:$G$49,MATCH(orders!$D422,products!$A$2:$A$49,0),MATCH(orders!I$1,products!$A$1:$G$1,0))</f>
        <v>Lib</v>
      </c>
      <c r="J422" s="10" t="str">
        <f>INDEX(products!$A$2:$G$49,MATCH(orders!$D422,products!$A$2:$A$49,0),MATCH(orders!J$1,products!$A$1:$G$1,0))</f>
        <v>D</v>
      </c>
      <c r="K422" s="11">
        <f>INDEX(products!$A$2:$G$49,MATCH(orders!$D422,products!$A$2:$A$49,0),MATCH(orders!K$1,products!$A$1:$G$1,0))</f>
        <v>0.5</v>
      </c>
      <c r="L422" s="12">
        <f>INDEX(products!$A$2:$G$49,MATCH(orders!$D422,products!$A$2:$A$49,0),MATCH(orders!L$1,products!$A$1:$G$1,0))</f>
        <v>7.77</v>
      </c>
      <c r="M422" s="12">
        <f t="shared" si="18"/>
        <v>31.08</v>
      </c>
      <c r="N422" s="10" t="str">
        <f t="shared" si="19"/>
        <v>Liberica</v>
      </c>
      <c r="O422" s="10" t="str">
        <f t="shared" si="20"/>
        <v>Dark</v>
      </c>
      <c r="P422" s="10" t="str">
        <f>_xlfn.XLOOKUP(Tableau1[[#This Row],[Customer ID]],customers!A$2:A$1001,customers!I$2:I$1001)</f>
        <v>No</v>
      </c>
    </row>
    <row r="423" spans="1:16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9" t="str">
        <f>_xlfn.XLOOKUP(orders!C423,customers!$A$2:$A$1001,customers!$B$2:$B$1001)</f>
        <v>Terri Farra</v>
      </c>
      <c r="G423" s="9" t="str">
        <f>IF(_xlfn.XLOOKUP(orders!C423,customers!$A$2:$A$1001,customers!$C$2:$C$1001,,,)=0,"",_xlfn.XLOOKUP(orders!C423,customers!$A$2:$A$1001,customers!$C$2:$C$1001,,,))</f>
        <v>tfarraac@behance.net</v>
      </c>
      <c r="H423" s="9" t="str">
        <f>_xlfn.XLOOKUP(C423,customers!$A$2:$A$1001,customers!$G$2:$G$1001,"")</f>
        <v>United States</v>
      </c>
      <c r="I423" s="10" t="str">
        <f>INDEX(products!$A$2:$G$49,MATCH(orders!$D423,products!$A$2:$A$49,0),MATCH(orders!I$1,products!$A$1:$G$1,0))</f>
        <v>Ara</v>
      </c>
      <c r="J423" s="10" t="str">
        <f>INDEX(products!$A$2:$G$49,MATCH(orders!$D423,products!$A$2:$A$49,0),MATCH(orders!J$1,products!$A$1:$G$1,0))</f>
        <v>D</v>
      </c>
      <c r="K423" s="11">
        <f>INDEX(products!$A$2:$G$49,MATCH(orders!$D423,products!$A$2:$A$49,0),MATCH(orders!K$1,products!$A$1:$G$1,0))</f>
        <v>2.5</v>
      </c>
      <c r="L423" s="12">
        <f>INDEX(products!$A$2:$G$49,MATCH(orders!$D423,products!$A$2:$A$49,0),MATCH(orders!L$1,products!$A$1:$G$1,0))</f>
        <v>22.884999999999998</v>
      </c>
      <c r="M423" s="12">
        <f t="shared" si="18"/>
        <v>137.31</v>
      </c>
      <c r="N423" s="10" t="str">
        <f t="shared" si="19"/>
        <v>Arabica</v>
      </c>
      <c r="O423" s="10" t="str">
        <f t="shared" si="20"/>
        <v>Dark</v>
      </c>
      <c r="P423" s="10" t="str">
        <f>_xlfn.XLOOKUP(Tableau1[[#This Row],[Customer ID]],customers!A$2:A$1001,customers!I$2:I$1001)</f>
        <v>No</v>
      </c>
    </row>
    <row r="424" spans="1:16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9" t="str">
        <f>_xlfn.XLOOKUP(orders!C424,customers!$A$2:$A$1001,customers!$B$2:$B$1001)</f>
        <v>Nevins Glowacz</v>
      </c>
      <c r="G424" s="9" t="str">
        <f>IF(_xlfn.XLOOKUP(orders!C424,customers!$A$2:$A$1001,customers!$C$2:$C$1001,,,)=0,"",_xlfn.XLOOKUP(orders!C424,customers!$A$2:$A$1001,customers!$C$2:$C$1001,,,))</f>
        <v/>
      </c>
      <c r="H424" s="9" t="str">
        <f>_xlfn.XLOOKUP(C424,customers!$A$2:$A$1001,customers!$G$2:$G$1001,"")</f>
        <v>United States</v>
      </c>
      <c r="I424" s="10" t="str">
        <f>INDEX(products!$A$2:$G$49,MATCH(orders!$D424,products!$A$2:$A$49,0),MATCH(orders!I$1,products!$A$1:$G$1,0))</f>
        <v>Ara</v>
      </c>
      <c r="J424" s="10" t="str">
        <f>INDEX(products!$A$2:$G$49,MATCH(orders!$D424,products!$A$2:$A$49,0),MATCH(orders!J$1,products!$A$1:$G$1,0))</f>
        <v>D</v>
      </c>
      <c r="K424" s="11">
        <f>INDEX(products!$A$2:$G$49,MATCH(orders!$D424,products!$A$2:$A$49,0),MATCH(orders!K$1,products!$A$1:$G$1,0))</f>
        <v>0.5</v>
      </c>
      <c r="L424" s="12">
        <f>INDEX(products!$A$2:$G$49,MATCH(orders!$D424,products!$A$2:$A$49,0),MATCH(orders!L$1,products!$A$1:$G$1,0))</f>
        <v>5.97</v>
      </c>
      <c r="M424" s="12">
        <f t="shared" si="18"/>
        <v>29.849999999999998</v>
      </c>
      <c r="N424" s="10" t="str">
        <f t="shared" si="19"/>
        <v>Arabica</v>
      </c>
      <c r="O424" s="10" t="str">
        <f t="shared" si="20"/>
        <v>Dark</v>
      </c>
      <c r="P424" s="10" t="str">
        <f>_xlfn.XLOOKUP(Tableau1[[#This Row],[Customer ID]],customers!A$2:A$1001,customers!I$2:I$1001)</f>
        <v>No</v>
      </c>
    </row>
    <row r="425" spans="1:16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9" t="str">
        <f>_xlfn.XLOOKUP(orders!C425,customers!$A$2:$A$1001,customers!$B$2:$B$1001)</f>
        <v>Adelice Isabell</v>
      </c>
      <c r="G425" s="9" t="str">
        <f>IF(_xlfn.XLOOKUP(orders!C425,customers!$A$2:$A$1001,customers!$C$2:$C$1001,,,)=0,"",_xlfn.XLOOKUP(orders!C425,customers!$A$2:$A$1001,customers!$C$2:$C$1001,,,))</f>
        <v/>
      </c>
      <c r="H425" s="9" t="str">
        <f>_xlfn.XLOOKUP(C425,customers!$A$2:$A$1001,customers!$G$2:$G$1001,"")</f>
        <v>United States</v>
      </c>
      <c r="I425" s="10" t="str">
        <f>INDEX(products!$A$2:$G$49,MATCH(orders!$D425,products!$A$2:$A$49,0),MATCH(orders!I$1,products!$A$1:$G$1,0))</f>
        <v>Rob</v>
      </c>
      <c r="J425" s="10" t="str">
        <f>INDEX(products!$A$2:$G$49,MATCH(orders!$D425,products!$A$2:$A$49,0),MATCH(orders!J$1,products!$A$1:$G$1,0))</f>
        <v>M</v>
      </c>
      <c r="K425" s="11">
        <f>INDEX(products!$A$2:$G$49,MATCH(orders!$D425,products!$A$2:$A$49,0),MATCH(orders!K$1,products!$A$1:$G$1,0))</f>
        <v>0.5</v>
      </c>
      <c r="L425" s="12">
        <f>INDEX(products!$A$2:$G$49,MATCH(orders!$D425,products!$A$2:$A$49,0),MATCH(orders!L$1,products!$A$1:$G$1,0))</f>
        <v>5.97</v>
      </c>
      <c r="M425" s="12">
        <f t="shared" si="18"/>
        <v>17.91</v>
      </c>
      <c r="N425" s="10" t="str">
        <f t="shared" si="19"/>
        <v>Robusta</v>
      </c>
      <c r="O425" s="10" t="str">
        <f t="shared" si="20"/>
        <v>Medium</v>
      </c>
      <c r="P425" s="10" t="str">
        <f>_xlfn.XLOOKUP(Tableau1[[#This Row],[Customer ID]],customers!A$2:A$1001,customers!I$2:I$1001)</f>
        <v>No</v>
      </c>
    </row>
    <row r="426" spans="1:16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9" t="str">
        <f>_xlfn.XLOOKUP(orders!C426,customers!$A$2:$A$1001,customers!$B$2:$B$1001)</f>
        <v>Yulma Dombrell</v>
      </c>
      <c r="G426" s="9" t="str">
        <f>IF(_xlfn.XLOOKUP(orders!C426,customers!$A$2:$A$1001,customers!$C$2:$C$1001,,,)=0,"",_xlfn.XLOOKUP(orders!C426,customers!$A$2:$A$1001,customers!$C$2:$C$1001,,,))</f>
        <v>ydombrellbs@dedecms.com</v>
      </c>
      <c r="H426" s="9" t="str">
        <f>_xlfn.XLOOKUP(C426,customers!$A$2:$A$1001,customers!$G$2:$G$1001,"")</f>
        <v>United States</v>
      </c>
      <c r="I426" s="10" t="str">
        <f>INDEX(products!$A$2:$G$49,MATCH(orders!$D426,products!$A$2:$A$49,0),MATCH(orders!I$1,products!$A$1:$G$1,0))</f>
        <v>Exc</v>
      </c>
      <c r="J426" s="10" t="str">
        <f>INDEX(products!$A$2:$G$49,MATCH(orders!$D426,products!$A$2:$A$49,0),MATCH(orders!J$1,products!$A$1:$G$1,0))</f>
        <v>L</v>
      </c>
      <c r="K426" s="11">
        <f>INDEX(products!$A$2:$G$49,MATCH(orders!$D426,products!$A$2:$A$49,0),MATCH(orders!K$1,products!$A$1:$G$1,0))</f>
        <v>0.5</v>
      </c>
      <c r="L426" s="12">
        <f>INDEX(products!$A$2:$G$49,MATCH(orders!$D426,products!$A$2:$A$49,0),MATCH(orders!L$1,products!$A$1:$G$1,0))</f>
        <v>8.91</v>
      </c>
      <c r="M426" s="12">
        <f t="shared" si="18"/>
        <v>26.73</v>
      </c>
      <c r="N426" s="10" t="str">
        <f t="shared" si="19"/>
        <v>Excelsa</v>
      </c>
      <c r="O426" s="10" t="str">
        <f t="shared" si="20"/>
        <v>Light</v>
      </c>
      <c r="P426" s="10" t="str">
        <f>_xlfn.XLOOKUP(Tableau1[[#This Row],[Customer ID]],customers!A$2:A$1001,customers!I$2:I$1001)</f>
        <v>Yes</v>
      </c>
    </row>
    <row r="427" spans="1:16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9" t="str">
        <f>_xlfn.XLOOKUP(orders!C427,customers!$A$2:$A$1001,customers!$B$2:$B$1001)</f>
        <v>Alric Darth</v>
      </c>
      <c r="G427" s="9" t="str">
        <f>IF(_xlfn.XLOOKUP(orders!C427,customers!$A$2:$A$1001,customers!$C$2:$C$1001,,,)=0,"",_xlfn.XLOOKUP(orders!C427,customers!$A$2:$A$1001,customers!$C$2:$C$1001,,,))</f>
        <v>adarthbt@t.co</v>
      </c>
      <c r="H427" s="9" t="str">
        <f>_xlfn.XLOOKUP(C427,customers!$A$2:$A$1001,customers!$G$2:$G$1001,"")</f>
        <v>United States</v>
      </c>
      <c r="I427" s="10" t="str">
        <f>INDEX(products!$A$2:$G$49,MATCH(orders!$D427,products!$A$2:$A$49,0),MATCH(orders!I$1,products!$A$1:$G$1,0))</f>
        <v>Rob</v>
      </c>
      <c r="J427" s="10" t="str">
        <f>INDEX(products!$A$2:$G$49,MATCH(orders!$D427,products!$A$2:$A$49,0),MATCH(orders!J$1,products!$A$1:$G$1,0))</f>
        <v>D</v>
      </c>
      <c r="K427" s="11">
        <f>INDEX(products!$A$2:$G$49,MATCH(orders!$D427,products!$A$2:$A$49,0),MATCH(orders!K$1,products!$A$1:$G$1,0))</f>
        <v>1</v>
      </c>
      <c r="L427" s="12">
        <f>INDEX(products!$A$2:$G$49,MATCH(orders!$D427,products!$A$2:$A$49,0),MATCH(orders!L$1,products!$A$1:$G$1,0))</f>
        <v>8.9499999999999993</v>
      </c>
      <c r="M427" s="12">
        <f t="shared" si="18"/>
        <v>17.899999999999999</v>
      </c>
      <c r="N427" s="10" t="str">
        <f t="shared" si="19"/>
        <v>Robusta</v>
      </c>
      <c r="O427" s="10" t="str">
        <f t="shared" si="20"/>
        <v>Dark</v>
      </c>
      <c r="P427" s="10" t="str">
        <f>_xlfn.XLOOKUP(Tableau1[[#This Row],[Customer ID]],customers!A$2:A$1001,customers!I$2:I$1001)</f>
        <v>No</v>
      </c>
    </row>
    <row r="428" spans="1:16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9" t="str">
        <f>_xlfn.XLOOKUP(orders!C428,customers!$A$2:$A$1001,customers!$B$2:$B$1001)</f>
        <v>Manuel Darrigoe</v>
      </c>
      <c r="G428" s="9" t="str">
        <f>IF(_xlfn.XLOOKUP(orders!C428,customers!$A$2:$A$1001,customers!$C$2:$C$1001,,,)=0,"",_xlfn.XLOOKUP(orders!C428,customers!$A$2:$A$1001,customers!$C$2:$C$1001,,,))</f>
        <v>mdarrigoebu@hud.gov</v>
      </c>
      <c r="H428" s="9" t="str">
        <f>_xlfn.XLOOKUP(C428,customers!$A$2:$A$1001,customers!$G$2:$G$1001,"")</f>
        <v>Ireland</v>
      </c>
      <c r="I428" s="10" t="str">
        <f>INDEX(products!$A$2:$G$49,MATCH(orders!$D428,products!$A$2:$A$49,0),MATCH(orders!I$1,products!$A$1:$G$1,0))</f>
        <v>Rob</v>
      </c>
      <c r="J428" s="10" t="str">
        <f>INDEX(products!$A$2:$G$49,MATCH(orders!$D428,products!$A$2:$A$49,0),MATCH(orders!J$1,products!$A$1:$G$1,0))</f>
        <v>L</v>
      </c>
      <c r="K428" s="11">
        <f>INDEX(products!$A$2:$G$49,MATCH(orders!$D428,products!$A$2:$A$49,0),MATCH(orders!K$1,products!$A$1:$G$1,0))</f>
        <v>0.2</v>
      </c>
      <c r="L428" s="12">
        <f>INDEX(products!$A$2:$G$49,MATCH(orders!$D428,products!$A$2:$A$49,0),MATCH(orders!L$1,products!$A$1:$G$1,0))</f>
        <v>3.5849999999999995</v>
      </c>
      <c r="M428" s="12">
        <f t="shared" si="18"/>
        <v>14.339999999999998</v>
      </c>
      <c r="N428" s="10" t="str">
        <f t="shared" si="19"/>
        <v>Robusta</v>
      </c>
      <c r="O428" s="10" t="str">
        <f t="shared" si="20"/>
        <v>Light</v>
      </c>
      <c r="P428" s="10" t="str">
        <f>_xlfn.XLOOKUP(Tableau1[[#This Row],[Customer ID]],customers!A$2:A$1001,customers!I$2:I$1001)</f>
        <v>Yes</v>
      </c>
    </row>
    <row r="429" spans="1:16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9" t="str">
        <f>_xlfn.XLOOKUP(orders!C429,customers!$A$2:$A$1001,customers!$B$2:$B$1001)</f>
        <v>Kynthia Berick</v>
      </c>
      <c r="G429" s="9" t="str">
        <f>IF(_xlfn.XLOOKUP(orders!C429,customers!$A$2:$A$1001,customers!$C$2:$C$1001,,,)=0,"",_xlfn.XLOOKUP(orders!C429,customers!$A$2:$A$1001,customers!$C$2:$C$1001,,,))</f>
        <v/>
      </c>
      <c r="H429" s="9" t="str">
        <f>_xlfn.XLOOKUP(C429,customers!$A$2:$A$1001,customers!$G$2:$G$1001,"")</f>
        <v>United States</v>
      </c>
      <c r="I429" s="10" t="str">
        <f>INDEX(products!$A$2:$G$49,MATCH(orders!$D429,products!$A$2:$A$49,0),MATCH(orders!I$1,products!$A$1:$G$1,0))</f>
        <v>Ara</v>
      </c>
      <c r="J429" s="10" t="str">
        <f>INDEX(products!$A$2:$G$49,MATCH(orders!$D429,products!$A$2:$A$49,0),MATCH(orders!J$1,products!$A$1:$G$1,0))</f>
        <v>M</v>
      </c>
      <c r="K429" s="11">
        <f>INDEX(products!$A$2:$G$49,MATCH(orders!$D429,products!$A$2:$A$49,0),MATCH(orders!K$1,products!$A$1:$G$1,0))</f>
        <v>2.5</v>
      </c>
      <c r="L429" s="12">
        <f>INDEX(products!$A$2:$G$49,MATCH(orders!$D429,products!$A$2:$A$49,0),MATCH(orders!L$1,products!$A$1:$G$1,0))</f>
        <v>25.874999999999996</v>
      </c>
      <c r="M429" s="12">
        <f t="shared" si="18"/>
        <v>77.624999999999986</v>
      </c>
      <c r="N429" s="10" t="str">
        <f t="shared" si="19"/>
        <v>Arabica</v>
      </c>
      <c r="O429" s="10" t="str">
        <f t="shared" si="20"/>
        <v>Medium</v>
      </c>
      <c r="P429" s="10" t="str">
        <f>_xlfn.XLOOKUP(Tableau1[[#This Row],[Customer ID]],customers!A$2:A$1001,customers!I$2:I$1001)</f>
        <v>Yes</v>
      </c>
    </row>
    <row r="430" spans="1:16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9" t="str">
        <f>_xlfn.XLOOKUP(orders!C430,customers!$A$2:$A$1001,customers!$B$2:$B$1001)</f>
        <v>Minetta Ackrill</v>
      </c>
      <c r="G430" s="9" t="str">
        <f>IF(_xlfn.XLOOKUP(orders!C430,customers!$A$2:$A$1001,customers!$C$2:$C$1001,,,)=0,"",_xlfn.XLOOKUP(orders!C430,customers!$A$2:$A$1001,customers!$C$2:$C$1001,,,))</f>
        <v>mackrillbw@bandcamp.com</v>
      </c>
      <c r="H430" s="9" t="str">
        <f>_xlfn.XLOOKUP(C430,customers!$A$2:$A$1001,customers!$G$2:$G$1001,"")</f>
        <v>United States</v>
      </c>
      <c r="I430" s="10" t="str">
        <f>INDEX(products!$A$2:$G$49,MATCH(orders!$D430,products!$A$2:$A$49,0),MATCH(orders!I$1,products!$A$1:$G$1,0))</f>
        <v>Rob</v>
      </c>
      <c r="J430" s="10" t="str">
        <f>INDEX(products!$A$2:$G$49,MATCH(orders!$D430,products!$A$2:$A$49,0),MATCH(orders!J$1,products!$A$1:$G$1,0))</f>
        <v>L</v>
      </c>
      <c r="K430" s="11">
        <f>INDEX(products!$A$2:$G$49,MATCH(orders!$D430,products!$A$2:$A$49,0),MATCH(orders!K$1,products!$A$1:$G$1,0))</f>
        <v>1</v>
      </c>
      <c r="L430" s="12">
        <f>INDEX(products!$A$2:$G$49,MATCH(orders!$D430,products!$A$2:$A$49,0),MATCH(orders!L$1,products!$A$1:$G$1,0))</f>
        <v>11.95</v>
      </c>
      <c r="M430" s="12">
        <f t="shared" si="18"/>
        <v>59.75</v>
      </c>
      <c r="N430" s="10" t="str">
        <f t="shared" si="19"/>
        <v>Robusta</v>
      </c>
      <c r="O430" s="10" t="str">
        <f t="shared" si="20"/>
        <v>Light</v>
      </c>
      <c r="P430" s="10" t="str">
        <f>_xlfn.XLOOKUP(Tableau1[[#This Row],[Customer ID]],customers!A$2:A$1001,customers!I$2:I$1001)</f>
        <v>No</v>
      </c>
    </row>
    <row r="431" spans="1:16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9" t="str">
        <f>_xlfn.XLOOKUP(orders!C431,customers!$A$2:$A$1001,customers!$B$2:$B$1001)</f>
        <v>Terri Farra</v>
      </c>
      <c r="G431" s="9" t="str">
        <f>IF(_xlfn.XLOOKUP(orders!C431,customers!$A$2:$A$1001,customers!$C$2:$C$1001,,,)=0,"",_xlfn.XLOOKUP(orders!C431,customers!$A$2:$A$1001,customers!$C$2:$C$1001,,,))</f>
        <v>tfarraac@behance.net</v>
      </c>
      <c r="H431" s="9" t="str">
        <f>_xlfn.XLOOKUP(C431,customers!$A$2:$A$1001,customers!$G$2:$G$1001,"")</f>
        <v>United States</v>
      </c>
      <c r="I431" s="10" t="str">
        <f>INDEX(products!$A$2:$G$49,MATCH(orders!$D431,products!$A$2:$A$49,0),MATCH(orders!I$1,products!$A$1:$G$1,0))</f>
        <v>Ara</v>
      </c>
      <c r="J431" s="10" t="str">
        <f>INDEX(products!$A$2:$G$49,MATCH(orders!$D431,products!$A$2:$A$49,0),MATCH(orders!J$1,products!$A$1:$G$1,0))</f>
        <v>L</v>
      </c>
      <c r="K431" s="11">
        <f>INDEX(products!$A$2:$G$49,MATCH(orders!$D431,products!$A$2:$A$49,0),MATCH(orders!K$1,products!$A$1:$G$1,0))</f>
        <v>1</v>
      </c>
      <c r="L431" s="12">
        <f>INDEX(products!$A$2:$G$49,MATCH(orders!$D431,products!$A$2:$A$49,0),MATCH(orders!L$1,products!$A$1:$G$1,0))</f>
        <v>12.95</v>
      </c>
      <c r="M431" s="12">
        <f t="shared" si="18"/>
        <v>77.699999999999989</v>
      </c>
      <c r="N431" s="10" t="str">
        <f t="shared" si="19"/>
        <v>Arabica</v>
      </c>
      <c r="O431" s="10" t="str">
        <f t="shared" si="20"/>
        <v>Light</v>
      </c>
      <c r="P431" s="10" t="str">
        <f>_xlfn.XLOOKUP(Tableau1[[#This Row],[Customer ID]],customers!A$2:A$1001,customers!I$2:I$1001)</f>
        <v>No</v>
      </c>
    </row>
    <row r="432" spans="1:16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9" t="str">
        <f>_xlfn.XLOOKUP(orders!C432,customers!$A$2:$A$1001,customers!$B$2:$B$1001)</f>
        <v>Melosa Kippen</v>
      </c>
      <c r="G432" s="9" t="str">
        <f>IF(_xlfn.XLOOKUP(orders!C432,customers!$A$2:$A$1001,customers!$C$2:$C$1001,,,)=0,"",_xlfn.XLOOKUP(orders!C432,customers!$A$2:$A$1001,customers!$C$2:$C$1001,,,))</f>
        <v>mkippenby@dion.ne.jp</v>
      </c>
      <c r="H432" s="9" t="str">
        <f>_xlfn.XLOOKUP(C432,customers!$A$2:$A$1001,customers!$G$2:$G$1001,"")</f>
        <v>United States</v>
      </c>
      <c r="I432" s="10" t="str">
        <f>INDEX(products!$A$2:$G$49,MATCH(orders!$D432,products!$A$2:$A$49,0),MATCH(orders!I$1,products!$A$1:$G$1,0))</f>
        <v>Rob</v>
      </c>
      <c r="J432" s="10" t="str">
        <f>INDEX(products!$A$2:$G$49,MATCH(orders!$D432,products!$A$2:$A$49,0),MATCH(orders!J$1,products!$A$1:$G$1,0))</f>
        <v>D</v>
      </c>
      <c r="K432" s="11">
        <f>INDEX(products!$A$2:$G$49,MATCH(orders!$D432,products!$A$2:$A$49,0),MATCH(orders!K$1,products!$A$1:$G$1,0))</f>
        <v>0.2</v>
      </c>
      <c r="L432" s="12">
        <f>INDEX(products!$A$2:$G$49,MATCH(orders!$D432,products!$A$2:$A$49,0),MATCH(orders!L$1,products!$A$1:$G$1,0))</f>
        <v>2.6849999999999996</v>
      </c>
      <c r="M432" s="12">
        <f t="shared" si="18"/>
        <v>5.3699999999999992</v>
      </c>
      <c r="N432" s="10" t="str">
        <f t="shared" si="19"/>
        <v>Robusta</v>
      </c>
      <c r="O432" s="10" t="str">
        <f t="shared" si="20"/>
        <v>Dark</v>
      </c>
      <c r="P432" s="10" t="str">
        <f>_xlfn.XLOOKUP(Tableau1[[#This Row],[Customer ID]],customers!A$2:A$1001,customers!I$2:I$1001)</f>
        <v>Yes</v>
      </c>
    </row>
    <row r="433" spans="1:16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9" t="str">
        <f>_xlfn.XLOOKUP(orders!C433,customers!$A$2:$A$1001,customers!$B$2:$B$1001)</f>
        <v>Witty Ranson</v>
      </c>
      <c r="G433" s="9" t="str">
        <f>IF(_xlfn.XLOOKUP(orders!C433,customers!$A$2:$A$1001,customers!$C$2:$C$1001,,,)=0,"",_xlfn.XLOOKUP(orders!C433,customers!$A$2:$A$1001,customers!$C$2:$C$1001,,,))</f>
        <v>wransonbz@ted.com</v>
      </c>
      <c r="H433" s="9" t="str">
        <f>_xlfn.XLOOKUP(C433,customers!$A$2:$A$1001,customers!$G$2:$G$1001,"")</f>
        <v>Ireland</v>
      </c>
      <c r="I433" s="10" t="str">
        <f>INDEX(products!$A$2:$G$49,MATCH(orders!$D433,products!$A$2:$A$49,0),MATCH(orders!I$1,products!$A$1:$G$1,0))</f>
        <v>Exc</v>
      </c>
      <c r="J433" s="10" t="str">
        <f>INDEX(products!$A$2:$G$49,MATCH(orders!$D433,products!$A$2:$A$49,0),MATCH(orders!J$1,products!$A$1:$G$1,0))</f>
        <v>D</v>
      </c>
      <c r="K433" s="11">
        <f>INDEX(products!$A$2:$G$49,MATCH(orders!$D433,products!$A$2:$A$49,0),MATCH(orders!K$1,products!$A$1:$G$1,0))</f>
        <v>2.5</v>
      </c>
      <c r="L433" s="12">
        <f>INDEX(products!$A$2:$G$49,MATCH(orders!$D433,products!$A$2:$A$49,0),MATCH(orders!L$1,products!$A$1:$G$1,0))</f>
        <v>27.945</v>
      </c>
      <c r="M433" s="12">
        <f t="shared" si="18"/>
        <v>83.835000000000008</v>
      </c>
      <c r="N433" s="10" t="str">
        <f t="shared" si="19"/>
        <v>Excelsa</v>
      </c>
      <c r="O433" s="10" t="str">
        <f t="shared" si="20"/>
        <v>Dark</v>
      </c>
      <c r="P433" s="10" t="str">
        <f>_xlfn.XLOOKUP(Tableau1[[#This Row],[Customer ID]],customers!A$2:A$1001,customers!I$2:I$1001)</f>
        <v>Yes</v>
      </c>
    </row>
    <row r="434" spans="1:16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9" t="str">
        <f>_xlfn.XLOOKUP(orders!C434,customers!$A$2:$A$1001,customers!$B$2:$B$1001)</f>
        <v>Rod Gowdie</v>
      </c>
      <c r="G434" s="9" t="str">
        <f>IF(_xlfn.XLOOKUP(orders!C434,customers!$A$2:$A$1001,customers!$C$2:$C$1001,,,)=0,"",_xlfn.XLOOKUP(orders!C434,customers!$A$2:$A$1001,customers!$C$2:$C$1001,,,))</f>
        <v/>
      </c>
      <c r="H434" s="9" t="str">
        <f>_xlfn.XLOOKUP(C434,customers!$A$2:$A$1001,customers!$G$2:$G$1001,"")</f>
        <v>United States</v>
      </c>
      <c r="I434" s="10" t="str">
        <f>INDEX(products!$A$2:$G$49,MATCH(orders!$D434,products!$A$2:$A$49,0),MATCH(orders!I$1,products!$A$1:$G$1,0))</f>
        <v>Ara</v>
      </c>
      <c r="J434" s="10" t="str">
        <f>INDEX(products!$A$2:$G$49,MATCH(orders!$D434,products!$A$2:$A$49,0),MATCH(orders!J$1,products!$A$1:$G$1,0))</f>
        <v>M</v>
      </c>
      <c r="K434" s="11">
        <f>INDEX(products!$A$2:$G$49,MATCH(orders!$D434,products!$A$2:$A$49,0),MATCH(orders!K$1,products!$A$1:$G$1,0))</f>
        <v>1</v>
      </c>
      <c r="L434" s="12">
        <f>INDEX(products!$A$2:$G$49,MATCH(orders!$D434,products!$A$2:$A$49,0),MATCH(orders!L$1,products!$A$1:$G$1,0))</f>
        <v>11.25</v>
      </c>
      <c r="M434" s="12">
        <f t="shared" si="18"/>
        <v>22.5</v>
      </c>
      <c r="N434" s="10" t="str">
        <f t="shared" si="19"/>
        <v>Arabica</v>
      </c>
      <c r="O434" s="10" t="str">
        <f t="shared" si="20"/>
        <v>Medium</v>
      </c>
      <c r="P434" s="10" t="str">
        <f>_xlfn.XLOOKUP(Tableau1[[#This Row],[Customer ID]],customers!A$2:A$1001,customers!I$2:I$1001)</f>
        <v>No</v>
      </c>
    </row>
    <row r="435" spans="1:16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9" t="str">
        <f>_xlfn.XLOOKUP(orders!C435,customers!$A$2:$A$1001,customers!$B$2:$B$1001)</f>
        <v>Lemuel Rignold</v>
      </c>
      <c r="G435" s="9" t="str">
        <f>IF(_xlfn.XLOOKUP(orders!C435,customers!$A$2:$A$1001,customers!$C$2:$C$1001,,,)=0,"",_xlfn.XLOOKUP(orders!C435,customers!$A$2:$A$1001,customers!$C$2:$C$1001,,,))</f>
        <v>lrignoldc1@miibeian.gov.cn</v>
      </c>
      <c r="H435" s="9" t="str">
        <f>_xlfn.XLOOKUP(C435,customers!$A$2:$A$1001,customers!$G$2:$G$1001,"")</f>
        <v>United States</v>
      </c>
      <c r="I435" s="10" t="str">
        <f>INDEX(products!$A$2:$G$49,MATCH(orders!$D435,products!$A$2:$A$49,0),MATCH(orders!I$1,products!$A$1:$G$1,0))</f>
        <v>Lib</v>
      </c>
      <c r="J435" s="10" t="str">
        <f>INDEX(products!$A$2:$G$49,MATCH(orders!$D435,products!$A$2:$A$49,0),MATCH(orders!J$1,products!$A$1:$G$1,0))</f>
        <v>M</v>
      </c>
      <c r="K435" s="11">
        <f>INDEX(products!$A$2:$G$49,MATCH(orders!$D435,products!$A$2:$A$49,0),MATCH(orders!K$1,products!$A$1:$G$1,0))</f>
        <v>2.5</v>
      </c>
      <c r="L435" s="12">
        <f>INDEX(products!$A$2:$G$49,MATCH(orders!$D435,products!$A$2:$A$49,0),MATCH(orders!L$1,products!$A$1:$G$1,0))</f>
        <v>33.464999999999996</v>
      </c>
      <c r="M435" s="12">
        <f t="shared" si="18"/>
        <v>200.78999999999996</v>
      </c>
      <c r="N435" s="10" t="str">
        <f t="shared" si="19"/>
        <v>Liberica</v>
      </c>
      <c r="O435" s="10" t="str">
        <f t="shared" si="20"/>
        <v>Medium</v>
      </c>
      <c r="P435" s="10" t="str">
        <f>_xlfn.XLOOKUP(Tableau1[[#This Row],[Customer ID]],customers!A$2:A$1001,customers!I$2:I$1001)</f>
        <v>Yes</v>
      </c>
    </row>
    <row r="436" spans="1:16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9" t="str">
        <f>_xlfn.XLOOKUP(orders!C436,customers!$A$2:$A$1001,customers!$B$2:$B$1001)</f>
        <v>Nevsa Fields</v>
      </c>
      <c r="G436" s="9" t="str">
        <f>IF(_xlfn.XLOOKUP(orders!C436,customers!$A$2:$A$1001,customers!$C$2:$C$1001,,,)=0,"",_xlfn.XLOOKUP(orders!C436,customers!$A$2:$A$1001,customers!$C$2:$C$1001,,,))</f>
        <v/>
      </c>
      <c r="H436" s="9" t="str">
        <f>_xlfn.XLOOKUP(C436,customers!$A$2:$A$1001,customers!$G$2:$G$1001,"")</f>
        <v>United States</v>
      </c>
      <c r="I436" s="10" t="str">
        <f>INDEX(products!$A$2:$G$49,MATCH(orders!$D436,products!$A$2:$A$49,0),MATCH(orders!I$1,products!$A$1:$G$1,0))</f>
        <v>Ara</v>
      </c>
      <c r="J436" s="10" t="str">
        <f>INDEX(products!$A$2:$G$49,MATCH(orders!$D436,products!$A$2:$A$49,0),MATCH(orders!J$1,products!$A$1:$G$1,0))</f>
        <v>M</v>
      </c>
      <c r="K436" s="11">
        <f>INDEX(products!$A$2:$G$49,MATCH(orders!$D436,products!$A$2:$A$49,0),MATCH(orders!K$1,products!$A$1:$G$1,0))</f>
        <v>1</v>
      </c>
      <c r="L436" s="12">
        <f>INDEX(products!$A$2:$G$49,MATCH(orders!$D436,products!$A$2:$A$49,0),MATCH(orders!L$1,products!$A$1:$G$1,0))</f>
        <v>11.25</v>
      </c>
      <c r="M436" s="12">
        <f t="shared" si="18"/>
        <v>67.5</v>
      </c>
      <c r="N436" s="10" t="str">
        <f t="shared" si="19"/>
        <v>Arabica</v>
      </c>
      <c r="O436" s="10" t="str">
        <f t="shared" si="20"/>
        <v>Medium</v>
      </c>
      <c r="P436" s="10" t="str">
        <f>_xlfn.XLOOKUP(Tableau1[[#This Row],[Customer ID]],customers!A$2:A$1001,customers!I$2:I$1001)</f>
        <v>No</v>
      </c>
    </row>
    <row r="437" spans="1:16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9" t="str">
        <f>_xlfn.XLOOKUP(orders!C437,customers!$A$2:$A$1001,customers!$B$2:$B$1001)</f>
        <v>Chance Rowthorn</v>
      </c>
      <c r="G437" s="9" t="str">
        <f>IF(_xlfn.XLOOKUP(orders!C437,customers!$A$2:$A$1001,customers!$C$2:$C$1001,,,)=0,"",_xlfn.XLOOKUP(orders!C437,customers!$A$2:$A$1001,customers!$C$2:$C$1001,,,))</f>
        <v>crowthornc3@msn.com</v>
      </c>
      <c r="H437" s="9" t="str">
        <f>_xlfn.XLOOKUP(C437,customers!$A$2:$A$1001,customers!$G$2:$G$1001,"")</f>
        <v>United States</v>
      </c>
      <c r="I437" s="10" t="str">
        <f>INDEX(products!$A$2:$G$49,MATCH(orders!$D437,products!$A$2:$A$49,0),MATCH(orders!I$1,products!$A$1:$G$1,0))</f>
        <v>Exc</v>
      </c>
      <c r="J437" s="10" t="str">
        <f>INDEX(products!$A$2:$G$49,MATCH(orders!$D437,products!$A$2:$A$49,0),MATCH(orders!J$1,products!$A$1:$G$1,0))</f>
        <v>M</v>
      </c>
      <c r="K437" s="11">
        <f>INDEX(products!$A$2:$G$49,MATCH(orders!$D437,products!$A$2:$A$49,0),MATCH(orders!K$1,products!$A$1:$G$1,0))</f>
        <v>0.5</v>
      </c>
      <c r="L437" s="12">
        <f>INDEX(products!$A$2:$G$49,MATCH(orders!$D437,products!$A$2:$A$49,0),MATCH(orders!L$1,products!$A$1:$G$1,0))</f>
        <v>8.25</v>
      </c>
      <c r="M437" s="12">
        <f t="shared" si="18"/>
        <v>8.25</v>
      </c>
      <c r="N437" s="10" t="str">
        <f t="shared" si="19"/>
        <v>Excelsa</v>
      </c>
      <c r="O437" s="10" t="str">
        <f t="shared" si="20"/>
        <v>Medium</v>
      </c>
      <c r="P437" s="10" t="str">
        <f>_xlfn.XLOOKUP(Tableau1[[#This Row],[Customer ID]],customers!A$2:A$1001,customers!I$2:I$1001)</f>
        <v>No</v>
      </c>
    </row>
    <row r="438" spans="1:16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9" t="str">
        <f>_xlfn.XLOOKUP(orders!C438,customers!$A$2:$A$1001,customers!$B$2:$B$1001)</f>
        <v>Orly Ryland</v>
      </c>
      <c r="G438" s="9" t="str">
        <f>IF(_xlfn.XLOOKUP(orders!C438,customers!$A$2:$A$1001,customers!$C$2:$C$1001,,,)=0,"",_xlfn.XLOOKUP(orders!C438,customers!$A$2:$A$1001,customers!$C$2:$C$1001,,,))</f>
        <v>orylandc4@deviantart.com</v>
      </c>
      <c r="H438" s="9" t="str">
        <f>_xlfn.XLOOKUP(C438,customers!$A$2:$A$1001,customers!$G$2:$G$1001,"")</f>
        <v>United States</v>
      </c>
      <c r="I438" s="10" t="str">
        <f>INDEX(products!$A$2:$G$49,MATCH(orders!$D438,products!$A$2:$A$49,0),MATCH(orders!I$1,products!$A$1:$G$1,0))</f>
        <v>Lib</v>
      </c>
      <c r="J438" s="10" t="str">
        <f>INDEX(products!$A$2:$G$49,MATCH(orders!$D438,products!$A$2:$A$49,0),MATCH(orders!J$1,products!$A$1:$G$1,0))</f>
        <v>L</v>
      </c>
      <c r="K438" s="11">
        <f>INDEX(products!$A$2:$G$49,MATCH(orders!$D438,products!$A$2:$A$49,0),MATCH(orders!K$1,products!$A$1:$G$1,0))</f>
        <v>0.2</v>
      </c>
      <c r="L438" s="12">
        <f>INDEX(products!$A$2:$G$49,MATCH(orders!$D438,products!$A$2:$A$49,0),MATCH(orders!L$1,products!$A$1:$G$1,0))</f>
        <v>4.7549999999999999</v>
      </c>
      <c r="M438" s="12">
        <f t="shared" si="18"/>
        <v>9.51</v>
      </c>
      <c r="N438" s="10" t="str">
        <f t="shared" si="19"/>
        <v>Liberica</v>
      </c>
      <c r="O438" s="10" t="str">
        <f t="shared" si="20"/>
        <v>Light</v>
      </c>
      <c r="P438" s="10" t="str">
        <f>_xlfn.XLOOKUP(Tableau1[[#This Row],[Customer ID]],customers!A$2:A$1001,customers!I$2:I$1001)</f>
        <v>Yes</v>
      </c>
    </row>
    <row r="439" spans="1:16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9" t="str">
        <f>_xlfn.XLOOKUP(orders!C439,customers!$A$2:$A$1001,customers!$B$2:$B$1001)</f>
        <v>Willabella Abramski</v>
      </c>
      <c r="G439" s="9" t="str">
        <f>IF(_xlfn.XLOOKUP(orders!C439,customers!$A$2:$A$1001,customers!$C$2:$C$1001,,,)=0,"",_xlfn.XLOOKUP(orders!C439,customers!$A$2:$A$1001,customers!$C$2:$C$1001,,,))</f>
        <v/>
      </c>
      <c r="H439" s="9" t="str">
        <f>_xlfn.XLOOKUP(C439,customers!$A$2:$A$1001,customers!$G$2:$G$1001,"")</f>
        <v>United States</v>
      </c>
      <c r="I439" s="10" t="str">
        <f>INDEX(products!$A$2:$G$49,MATCH(orders!$D439,products!$A$2:$A$49,0),MATCH(orders!I$1,products!$A$1:$G$1,0))</f>
        <v>Lib</v>
      </c>
      <c r="J439" s="10" t="str">
        <f>INDEX(products!$A$2:$G$49,MATCH(orders!$D439,products!$A$2:$A$49,0),MATCH(orders!J$1,products!$A$1:$G$1,0))</f>
        <v>D</v>
      </c>
      <c r="K439" s="11">
        <f>INDEX(products!$A$2:$G$49,MATCH(orders!$D439,products!$A$2:$A$49,0),MATCH(orders!K$1,products!$A$1:$G$1,0))</f>
        <v>2.5</v>
      </c>
      <c r="L439" s="12">
        <f>INDEX(products!$A$2:$G$49,MATCH(orders!$D439,products!$A$2:$A$49,0),MATCH(orders!L$1,products!$A$1:$G$1,0))</f>
        <v>29.784999999999997</v>
      </c>
      <c r="M439" s="12">
        <f t="shared" si="18"/>
        <v>29.784999999999997</v>
      </c>
      <c r="N439" s="10" t="str">
        <f t="shared" si="19"/>
        <v>Liberica</v>
      </c>
      <c r="O439" s="10" t="str">
        <f t="shared" si="20"/>
        <v>Dark</v>
      </c>
      <c r="P439" s="10" t="str">
        <f>_xlfn.XLOOKUP(Tableau1[[#This Row],[Customer ID]],customers!A$2:A$1001,customers!I$2:I$1001)</f>
        <v>No</v>
      </c>
    </row>
    <row r="440" spans="1:16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9" t="str">
        <f>_xlfn.XLOOKUP(orders!C440,customers!$A$2:$A$1001,customers!$B$2:$B$1001)</f>
        <v>Morgen Seson</v>
      </c>
      <c r="G440" s="9" t="str">
        <f>IF(_xlfn.XLOOKUP(orders!C440,customers!$A$2:$A$1001,customers!$C$2:$C$1001,,,)=0,"",_xlfn.XLOOKUP(orders!C440,customers!$A$2:$A$1001,customers!$C$2:$C$1001,,,))</f>
        <v>msesonck@census.gov</v>
      </c>
      <c r="H440" s="9" t="str">
        <f>_xlfn.XLOOKUP(C440,customers!$A$2:$A$1001,customers!$G$2:$G$1001,"")</f>
        <v>United States</v>
      </c>
      <c r="I440" s="10" t="str">
        <f>INDEX(products!$A$2:$G$49,MATCH(orders!$D440,products!$A$2:$A$49,0),MATCH(orders!I$1,products!$A$1:$G$1,0))</f>
        <v>Lib</v>
      </c>
      <c r="J440" s="10" t="str">
        <f>INDEX(products!$A$2:$G$49,MATCH(orders!$D440,products!$A$2:$A$49,0),MATCH(orders!J$1,products!$A$1:$G$1,0))</f>
        <v>D</v>
      </c>
      <c r="K440" s="11">
        <f>INDEX(products!$A$2:$G$49,MATCH(orders!$D440,products!$A$2:$A$49,0),MATCH(orders!K$1,products!$A$1:$G$1,0))</f>
        <v>0.5</v>
      </c>
      <c r="L440" s="12">
        <f>INDEX(products!$A$2:$G$49,MATCH(orders!$D440,products!$A$2:$A$49,0),MATCH(orders!L$1,products!$A$1:$G$1,0))</f>
        <v>7.77</v>
      </c>
      <c r="M440" s="12">
        <f t="shared" si="18"/>
        <v>15.54</v>
      </c>
      <c r="N440" s="10" t="str">
        <f t="shared" si="19"/>
        <v>Liberica</v>
      </c>
      <c r="O440" s="10" t="str">
        <f t="shared" si="20"/>
        <v>Dark</v>
      </c>
      <c r="P440" s="10" t="str">
        <f>_xlfn.XLOOKUP(Tableau1[[#This Row],[Customer ID]],customers!A$2:A$1001,customers!I$2:I$1001)</f>
        <v>No</v>
      </c>
    </row>
    <row r="441" spans="1:16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9" t="str">
        <f>_xlfn.XLOOKUP(orders!C441,customers!$A$2:$A$1001,customers!$B$2:$B$1001)</f>
        <v>Chickie Ragless</v>
      </c>
      <c r="G441" s="9" t="str">
        <f>IF(_xlfn.XLOOKUP(orders!C441,customers!$A$2:$A$1001,customers!$C$2:$C$1001,,,)=0,"",_xlfn.XLOOKUP(orders!C441,customers!$A$2:$A$1001,customers!$C$2:$C$1001,,,))</f>
        <v>craglessc7@webmd.com</v>
      </c>
      <c r="H441" s="9" t="str">
        <f>_xlfn.XLOOKUP(C441,customers!$A$2:$A$1001,customers!$G$2:$G$1001,"")</f>
        <v>Ireland</v>
      </c>
      <c r="I441" s="10" t="str">
        <f>INDEX(products!$A$2:$G$49,MATCH(orders!$D441,products!$A$2:$A$49,0),MATCH(orders!I$1,products!$A$1:$G$1,0))</f>
        <v>Exc</v>
      </c>
      <c r="J441" s="10" t="str">
        <f>INDEX(products!$A$2:$G$49,MATCH(orders!$D441,products!$A$2:$A$49,0),MATCH(orders!J$1,products!$A$1:$G$1,0))</f>
        <v>L</v>
      </c>
      <c r="K441" s="11">
        <f>INDEX(products!$A$2:$G$49,MATCH(orders!$D441,products!$A$2:$A$49,0),MATCH(orders!K$1,products!$A$1:$G$1,0))</f>
        <v>0.5</v>
      </c>
      <c r="L441" s="12">
        <f>INDEX(products!$A$2:$G$49,MATCH(orders!$D441,products!$A$2:$A$49,0),MATCH(orders!L$1,products!$A$1:$G$1,0))</f>
        <v>8.91</v>
      </c>
      <c r="M441" s="12">
        <f t="shared" si="18"/>
        <v>35.64</v>
      </c>
      <c r="N441" s="10" t="str">
        <f t="shared" si="19"/>
        <v>Excelsa</v>
      </c>
      <c r="O441" s="10" t="str">
        <f t="shared" si="20"/>
        <v>Light</v>
      </c>
      <c r="P441" s="10" t="str">
        <f>_xlfn.XLOOKUP(Tableau1[[#This Row],[Customer ID]],customers!A$2:A$1001,customers!I$2:I$1001)</f>
        <v>No</v>
      </c>
    </row>
    <row r="442" spans="1:16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9" t="str">
        <f>_xlfn.XLOOKUP(orders!C442,customers!$A$2:$A$1001,customers!$B$2:$B$1001)</f>
        <v>Freda Hollows</v>
      </c>
      <c r="G442" s="9" t="str">
        <f>IF(_xlfn.XLOOKUP(orders!C442,customers!$A$2:$A$1001,customers!$C$2:$C$1001,,,)=0,"",_xlfn.XLOOKUP(orders!C442,customers!$A$2:$A$1001,customers!$C$2:$C$1001,,,))</f>
        <v>fhollowsc8@blogtalkradio.com</v>
      </c>
      <c r="H442" s="9" t="str">
        <f>_xlfn.XLOOKUP(C442,customers!$A$2:$A$1001,customers!$G$2:$G$1001,"")</f>
        <v>United States</v>
      </c>
      <c r="I442" s="10" t="str">
        <f>INDEX(products!$A$2:$G$49,MATCH(orders!$D442,products!$A$2:$A$49,0),MATCH(orders!I$1,products!$A$1:$G$1,0))</f>
        <v>Ara</v>
      </c>
      <c r="J442" s="10" t="str">
        <f>INDEX(products!$A$2:$G$49,MATCH(orders!$D442,products!$A$2:$A$49,0),MATCH(orders!J$1,products!$A$1:$G$1,0))</f>
        <v>M</v>
      </c>
      <c r="K442" s="11">
        <f>INDEX(products!$A$2:$G$49,MATCH(orders!$D442,products!$A$2:$A$49,0),MATCH(orders!K$1,products!$A$1:$G$1,0))</f>
        <v>2.5</v>
      </c>
      <c r="L442" s="12">
        <f>INDEX(products!$A$2:$G$49,MATCH(orders!$D442,products!$A$2:$A$49,0),MATCH(orders!L$1,products!$A$1:$G$1,0))</f>
        <v>25.874999999999996</v>
      </c>
      <c r="M442" s="12">
        <f t="shared" si="18"/>
        <v>103.49999999999999</v>
      </c>
      <c r="N442" s="10" t="str">
        <f t="shared" si="19"/>
        <v>Arabica</v>
      </c>
      <c r="O442" s="10" t="str">
        <f t="shared" si="20"/>
        <v>Medium</v>
      </c>
      <c r="P442" s="10" t="str">
        <f>_xlfn.XLOOKUP(Tableau1[[#This Row],[Customer ID]],customers!A$2:A$1001,customers!I$2:I$1001)</f>
        <v>Yes</v>
      </c>
    </row>
    <row r="443" spans="1:16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9" t="str">
        <f>_xlfn.XLOOKUP(orders!C443,customers!$A$2:$A$1001,customers!$B$2:$B$1001)</f>
        <v>Livy Lathleiff</v>
      </c>
      <c r="G443" s="9" t="str">
        <f>IF(_xlfn.XLOOKUP(orders!C443,customers!$A$2:$A$1001,customers!$C$2:$C$1001,,,)=0,"",_xlfn.XLOOKUP(orders!C443,customers!$A$2:$A$1001,customers!$C$2:$C$1001,,,))</f>
        <v>llathleiffc9@nationalgeographic.com</v>
      </c>
      <c r="H443" s="9" t="str">
        <f>_xlfn.XLOOKUP(C443,customers!$A$2:$A$1001,customers!$G$2:$G$1001,"")</f>
        <v>Ireland</v>
      </c>
      <c r="I443" s="10" t="str">
        <f>INDEX(products!$A$2:$G$49,MATCH(orders!$D443,products!$A$2:$A$49,0),MATCH(orders!I$1,products!$A$1:$G$1,0))</f>
        <v>Exc</v>
      </c>
      <c r="J443" s="10" t="str">
        <f>INDEX(products!$A$2:$G$49,MATCH(orders!$D443,products!$A$2:$A$49,0),MATCH(orders!J$1,products!$A$1:$G$1,0))</f>
        <v>D</v>
      </c>
      <c r="K443" s="11">
        <f>INDEX(products!$A$2:$G$49,MATCH(orders!$D443,products!$A$2:$A$49,0),MATCH(orders!K$1,products!$A$1:$G$1,0))</f>
        <v>1</v>
      </c>
      <c r="L443" s="12">
        <f>INDEX(products!$A$2:$G$49,MATCH(orders!$D443,products!$A$2:$A$49,0),MATCH(orders!L$1,products!$A$1:$G$1,0))</f>
        <v>12.15</v>
      </c>
      <c r="M443" s="12">
        <f t="shared" si="18"/>
        <v>36.450000000000003</v>
      </c>
      <c r="N443" s="10" t="str">
        <f t="shared" si="19"/>
        <v>Excelsa</v>
      </c>
      <c r="O443" s="10" t="str">
        <f t="shared" si="20"/>
        <v>Dark</v>
      </c>
      <c r="P443" s="10" t="str">
        <f>_xlfn.XLOOKUP(Tableau1[[#This Row],[Customer ID]],customers!A$2:A$1001,customers!I$2:I$1001)</f>
        <v>Yes</v>
      </c>
    </row>
    <row r="444" spans="1:16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9" t="str">
        <f>_xlfn.XLOOKUP(orders!C444,customers!$A$2:$A$1001,customers!$B$2:$B$1001)</f>
        <v>Koralle Heads</v>
      </c>
      <c r="G444" s="9" t="str">
        <f>IF(_xlfn.XLOOKUP(orders!C444,customers!$A$2:$A$1001,customers!$C$2:$C$1001,,,)=0,"",_xlfn.XLOOKUP(orders!C444,customers!$A$2:$A$1001,customers!$C$2:$C$1001,,,))</f>
        <v>kheadsca@jalbum.net</v>
      </c>
      <c r="H444" s="9" t="str">
        <f>_xlfn.XLOOKUP(C444,customers!$A$2:$A$1001,customers!$G$2:$G$1001,"")</f>
        <v>United States</v>
      </c>
      <c r="I444" s="10" t="str">
        <f>INDEX(products!$A$2:$G$49,MATCH(orders!$D444,products!$A$2:$A$49,0),MATCH(orders!I$1,products!$A$1:$G$1,0))</f>
        <v>Rob</v>
      </c>
      <c r="J444" s="10" t="str">
        <f>INDEX(products!$A$2:$G$49,MATCH(orders!$D444,products!$A$2:$A$49,0),MATCH(orders!J$1,products!$A$1:$G$1,0))</f>
        <v>L</v>
      </c>
      <c r="K444" s="11">
        <f>INDEX(products!$A$2:$G$49,MATCH(orders!$D444,products!$A$2:$A$49,0),MATCH(orders!K$1,products!$A$1:$G$1,0))</f>
        <v>0.5</v>
      </c>
      <c r="L444" s="12">
        <f>INDEX(products!$A$2:$G$49,MATCH(orders!$D444,products!$A$2:$A$49,0),MATCH(orders!L$1,products!$A$1:$G$1,0))</f>
        <v>7.169999999999999</v>
      </c>
      <c r="M444" s="12">
        <f t="shared" si="18"/>
        <v>35.849999999999994</v>
      </c>
      <c r="N444" s="10" t="str">
        <f t="shared" si="19"/>
        <v>Robusta</v>
      </c>
      <c r="O444" s="10" t="str">
        <f t="shared" si="20"/>
        <v>Light</v>
      </c>
      <c r="P444" s="10" t="str">
        <f>_xlfn.XLOOKUP(Tableau1[[#This Row],[Customer ID]],customers!A$2:A$1001,customers!I$2:I$1001)</f>
        <v>No</v>
      </c>
    </row>
    <row r="445" spans="1:16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9" t="str">
        <f>_xlfn.XLOOKUP(orders!C445,customers!$A$2:$A$1001,customers!$B$2:$B$1001)</f>
        <v>Theo Bowne</v>
      </c>
      <c r="G445" s="9" t="str">
        <f>IF(_xlfn.XLOOKUP(orders!C445,customers!$A$2:$A$1001,customers!$C$2:$C$1001,,,)=0,"",_xlfn.XLOOKUP(orders!C445,customers!$A$2:$A$1001,customers!$C$2:$C$1001,,,))</f>
        <v>tbownecb@unicef.org</v>
      </c>
      <c r="H445" s="9" t="str">
        <f>_xlfn.XLOOKUP(C445,customers!$A$2:$A$1001,customers!$G$2:$G$1001,"")</f>
        <v>Ireland</v>
      </c>
      <c r="I445" s="10" t="str">
        <f>INDEX(products!$A$2:$G$49,MATCH(orders!$D445,products!$A$2:$A$49,0),MATCH(orders!I$1,products!$A$1:$G$1,0))</f>
        <v>Exc</v>
      </c>
      <c r="J445" s="10" t="str">
        <f>INDEX(products!$A$2:$G$49,MATCH(orders!$D445,products!$A$2:$A$49,0),MATCH(orders!J$1,products!$A$1:$G$1,0))</f>
        <v>L</v>
      </c>
      <c r="K445" s="11">
        <f>INDEX(products!$A$2:$G$49,MATCH(orders!$D445,products!$A$2:$A$49,0),MATCH(orders!K$1,products!$A$1:$G$1,0))</f>
        <v>0.2</v>
      </c>
      <c r="L445" s="12">
        <f>INDEX(products!$A$2:$G$49,MATCH(orders!$D445,products!$A$2:$A$49,0),MATCH(orders!L$1,products!$A$1:$G$1,0))</f>
        <v>4.4550000000000001</v>
      </c>
      <c r="M445" s="12">
        <f t="shared" si="18"/>
        <v>22.274999999999999</v>
      </c>
      <c r="N445" s="10" t="str">
        <f t="shared" si="19"/>
        <v>Excelsa</v>
      </c>
      <c r="O445" s="10" t="str">
        <f t="shared" si="20"/>
        <v>Light</v>
      </c>
      <c r="P445" s="10" t="str">
        <f>_xlfn.XLOOKUP(Tableau1[[#This Row],[Customer ID]],customers!A$2:A$1001,customers!I$2:I$1001)</f>
        <v>Yes</v>
      </c>
    </row>
    <row r="446" spans="1:16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9" t="str">
        <f>_xlfn.XLOOKUP(orders!C446,customers!$A$2:$A$1001,customers!$B$2:$B$1001)</f>
        <v>Rasia Jacquemard</v>
      </c>
      <c r="G446" s="9" t="str">
        <f>IF(_xlfn.XLOOKUP(orders!C446,customers!$A$2:$A$1001,customers!$C$2:$C$1001,,,)=0,"",_xlfn.XLOOKUP(orders!C446,customers!$A$2:$A$1001,customers!$C$2:$C$1001,,,))</f>
        <v>rjacquemardcc@acquirethisname.com</v>
      </c>
      <c r="H446" s="9" t="str">
        <f>_xlfn.XLOOKUP(C446,customers!$A$2:$A$1001,customers!$G$2:$G$1001,"")</f>
        <v>Ireland</v>
      </c>
      <c r="I446" s="10" t="str">
        <f>INDEX(products!$A$2:$G$49,MATCH(orders!$D446,products!$A$2:$A$49,0),MATCH(orders!I$1,products!$A$1:$G$1,0))</f>
        <v>Exc</v>
      </c>
      <c r="J446" s="10" t="str">
        <f>INDEX(products!$A$2:$G$49,MATCH(orders!$D446,products!$A$2:$A$49,0),MATCH(orders!J$1,products!$A$1:$G$1,0))</f>
        <v>M</v>
      </c>
      <c r="K446" s="11">
        <f>INDEX(products!$A$2:$G$49,MATCH(orders!$D446,products!$A$2:$A$49,0),MATCH(orders!K$1,products!$A$1:$G$1,0))</f>
        <v>0.2</v>
      </c>
      <c r="L446" s="12">
        <f>INDEX(products!$A$2:$G$49,MATCH(orders!$D446,products!$A$2:$A$49,0),MATCH(orders!L$1,products!$A$1:$G$1,0))</f>
        <v>4.125</v>
      </c>
      <c r="M446" s="12">
        <f t="shared" si="18"/>
        <v>24.75</v>
      </c>
      <c r="N446" s="10" t="str">
        <f t="shared" si="19"/>
        <v>Excelsa</v>
      </c>
      <c r="O446" s="10" t="str">
        <f t="shared" si="20"/>
        <v>Medium</v>
      </c>
      <c r="P446" s="10" t="str">
        <f>_xlfn.XLOOKUP(Tableau1[[#This Row],[Customer ID]],customers!A$2:A$1001,customers!I$2:I$1001)</f>
        <v>No</v>
      </c>
    </row>
    <row r="447" spans="1:16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9" t="str">
        <f>_xlfn.XLOOKUP(orders!C447,customers!$A$2:$A$1001,customers!$B$2:$B$1001)</f>
        <v>Kizzie Warman</v>
      </c>
      <c r="G447" s="9" t="str">
        <f>IF(_xlfn.XLOOKUP(orders!C447,customers!$A$2:$A$1001,customers!$C$2:$C$1001,,,)=0,"",_xlfn.XLOOKUP(orders!C447,customers!$A$2:$A$1001,customers!$C$2:$C$1001,,,))</f>
        <v>kwarmancd@printfriendly.com</v>
      </c>
      <c r="H447" s="9" t="str">
        <f>_xlfn.XLOOKUP(C447,customers!$A$2:$A$1001,customers!$G$2:$G$1001,"")</f>
        <v>Ireland</v>
      </c>
      <c r="I447" s="10" t="str">
        <f>INDEX(products!$A$2:$G$49,MATCH(orders!$D447,products!$A$2:$A$49,0),MATCH(orders!I$1,products!$A$1:$G$1,0))</f>
        <v>Lib</v>
      </c>
      <c r="J447" s="10" t="str">
        <f>INDEX(products!$A$2:$G$49,MATCH(orders!$D447,products!$A$2:$A$49,0),MATCH(orders!J$1,products!$A$1:$G$1,0))</f>
        <v>M</v>
      </c>
      <c r="K447" s="11">
        <f>INDEX(products!$A$2:$G$49,MATCH(orders!$D447,products!$A$2:$A$49,0),MATCH(orders!K$1,products!$A$1:$G$1,0))</f>
        <v>2.5</v>
      </c>
      <c r="L447" s="12">
        <f>INDEX(products!$A$2:$G$49,MATCH(orders!$D447,products!$A$2:$A$49,0),MATCH(orders!L$1,products!$A$1:$G$1,0))</f>
        <v>33.464999999999996</v>
      </c>
      <c r="M447" s="12">
        <f t="shared" si="18"/>
        <v>66.929999999999993</v>
      </c>
      <c r="N447" s="10" t="str">
        <f t="shared" si="19"/>
        <v>Liberica</v>
      </c>
      <c r="O447" s="10" t="str">
        <f t="shared" si="20"/>
        <v>Medium</v>
      </c>
      <c r="P447" s="10" t="str">
        <f>_xlfn.XLOOKUP(Tableau1[[#This Row],[Customer ID]],customers!A$2:A$1001,customers!I$2:I$1001)</f>
        <v>Yes</v>
      </c>
    </row>
    <row r="448" spans="1:16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9" t="str">
        <f>_xlfn.XLOOKUP(orders!C448,customers!$A$2:$A$1001,customers!$B$2:$B$1001)</f>
        <v>Wain Cholomin</v>
      </c>
      <c r="G448" s="9" t="str">
        <f>IF(_xlfn.XLOOKUP(orders!C448,customers!$A$2:$A$1001,customers!$C$2:$C$1001,,,)=0,"",_xlfn.XLOOKUP(orders!C448,customers!$A$2:$A$1001,customers!$C$2:$C$1001,,,))</f>
        <v>wcholomince@about.com</v>
      </c>
      <c r="H448" s="9" t="str">
        <f>_xlfn.XLOOKUP(C448,customers!$A$2:$A$1001,customers!$G$2:$G$1001,"")</f>
        <v>United Kingdom</v>
      </c>
      <c r="I448" s="10" t="str">
        <f>INDEX(products!$A$2:$G$49,MATCH(orders!$D448,products!$A$2:$A$49,0),MATCH(orders!I$1,products!$A$1:$G$1,0))</f>
        <v>Lib</v>
      </c>
      <c r="J448" s="10" t="str">
        <f>INDEX(products!$A$2:$G$49,MATCH(orders!$D448,products!$A$2:$A$49,0),MATCH(orders!J$1,products!$A$1:$G$1,0))</f>
        <v>M</v>
      </c>
      <c r="K448" s="11">
        <f>INDEX(products!$A$2:$G$49,MATCH(orders!$D448,products!$A$2:$A$49,0),MATCH(orders!K$1,products!$A$1:$G$1,0))</f>
        <v>0.5</v>
      </c>
      <c r="L448" s="12">
        <f>INDEX(products!$A$2:$G$49,MATCH(orders!$D448,products!$A$2:$A$49,0),MATCH(orders!L$1,products!$A$1:$G$1,0))</f>
        <v>8.73</v>
      </c>
      <c r="M448" s="12">
        <f t="shared" si="18"/>
        <v>8.73</v>
      </c>
      <c r="N448" s="10" t="str">
        <f t="shared" si="19"/>
        <v>Liberica</v>
      </c>
      <c r="O448" s="10" t="str">
        <f t="shared" si="20"/>
        <v>Medium</v>
      </c>
      <c r="P448" s="10" t="str">
        <f>_xlfn.XLOOKUP(Tableau1[[#This Row],[Customer ID]],customers!A$2:A$1001,customers!I$2:I$1001)</f>
        <v>Yes</v>
      </c>
    </row>
    <row r="449" spans="1:16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9" t="str">
        <f>_xlfn.XLOOKUP(orders!C449,customers!$A$2:$A$1001,customers!$B$2:$B$1001)</f>
        <v>Arleen Braidman</v>
      </c>
      <c r="G449" s="9" t="str">
        <f>IF(_xlfn.XLOOKUP(orders!C449,customers!$A$2:$A$1001,customers!$C$2:$C$1001,,,)=0,"",_xlfn.XLOOKUP(orders!C449,customers!$A$2:$A$1001,customers!$C$2:$C$1001,,,))</f>
        <v>abraidmancf@census.gov</v>
      </c>
      <c r="H449" s="9" t="str">
        <f>_xlfn.XLOOKUP(C449,customers!$A$2:$A$1001,customers!$G$2:$G$1001,"")</f>
        <v>United States</v>
      </c>
      <c r="I449" s="10" t="str">
        <f>INDEX(products!$A$2:$G$49,MATCH(orders!$D449,products!$A$2:$A$49,0),MATCH(orders!I$1,products!$A$1:$G$1,0))</f>
        <v>Rob</v>
      </c>
      <c r="J449" s="10" t="str">
        <f>INDEX(products!$A$2:$G$49,MATCH(orders!$D449,products!$A$2:$A$49,0),MATCH(orders!J$1,products!$A$1:$G$1,0))</f>
        <v>M</v>
      </c>
      <c r="K449" s="11">
        <f>INDEX(products!$A$2:$G$49,MATCH(orders!$D449,products!$A$2:$A$49,0),MATCH(orders!K$1,products!$A$1:$G$1,0))</f>
        <v>0.5</v>
      </c>
      <c r="L449" s="12">
        <f>INDEX(products!$A$2:$G$49,MATCH(orders!$D449,products!$A$2:$A$49,0),MATCH(orders!L$1,products!$A$1:$G$1,0))</f>
        <v>5.97</v>
      </c>
      <c r="M449" s="12">
        <f t="shared" si="18"/>
        <v>17.91</v>
      </c>
      <c r="N449" s="10" t="str">
        <f t="shared" si="19"/>
        <v>Robusta</v>
      </c>
      <c r="O449" s="10" t="str">
        <f t="shared" si="20"/>
        <v>Medium</v>
      </c>
      <c r="P449" s="10" t="str">
        <f>_xlfn.XLOOKUP(Tableau1[[#This Row],[Customer ID]],customers!A$2:A$1001,customers!I$2:I$1001)</f>
        <v>No</v>
      </c>
    </row>
    <row r="450" spans="1:16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9" t="str">
        <f>_xlfn.XLOOKUP(orders!C450,customers!$A$2:$A$1001,customers!$B$2:$B$1001)</f>
        <v>Pru Durban</v>
      </c>
      <c r="G450" s="9" t="str">
        <f>IF(_xlfn.XLOOKUP(orders!C450,customers!$A$2:$A$1001,customers!$C$2:$C$1001,,,)=0,"",_xlfn.XLOOKUP(orders!C450,customers!$A$2:$A$1001,customers!$C$2:$C$1001,,,))</f>
        <v>pdurbancg@symantec.com</v>
      </c>
      <c r="H450" s="9" t="str">
        <f>_xlfn.XLOOKUP(C450,customers!$A$2:$A$1001,customers!$G$2:$G$1001,"")</f>
        <v>Ireland</v>
      </c>
      <c r="I450" s="10" t="str">
        <f>INDEX(products!$A$2:$G$49,MATCH(orders!$D450,products!$A$2:$A$49,0),MATCH(orders!I$1,products!$A$1:$G$1,0))</f>
        <v>Rob</v>
      </c>
      <c r="J450" s="10" t="str">
        <f>INDEX(products!$A$2:$G$49,MATCH(orders!$D450,products!$A$2:$A$49,0),MATCH(orders!J$1,products!$A$1:$G$1,0))</f>
        <v>L</v>
      </c>
      <c r="K450" s="11">
        <f>INDEX(products!$A$2:$G$49,MATCH(orders!$D450,products!$A$2:$A$49,0),MATCH(orders!K$1,products!$A$1:$G$1,0))</f>
        <v>0.5</v>
      </c>
      <c r="L450" s="12">
        <f>INDEX(products!$A$2:$G$49,MATCH(orders!$D450,products!$A$2:$A$49,0),MATCH(orders!L$1,products!$A$1:$G$1,0))</f>
        <v>7.169999999999999</v>
      </c>
      <c r="M450" s="12">
        <f t="shared" si="18"/>
        <v>7.169999999999999</v>
      </c>
      <c r="N450" s="10" t="str">
        <f t="shared" si="19"/>
        <v>Robusta</v>
      </c>
      <c r="O450" s="10" t="str">
        <f t="shared" si="20"/>
        <v>Light</v>
      </c>
      <c r="P450" s="10" t="str">
        <f>_xlfn.XLOOKUP(Tableau1[[#This Row],[Customer ID]],customers!A$2:A$1001,customers!I$2:I$1001)</f>
        <v>No</v>
      </c>
    </row>
    <row r="451" spans="1:16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9" t="str">
        <f>_xlfn.XLOOKUP(orders!C451,customers!$A$2:$A$1001,customers!$B$2:$B$1001)</f>
        <v>Antone Harrold</v>
      </c>
      <c r="G451" s="9" t="str">
        <f>IF(_xlfn.XLOOKUP(orders!C451,customers!$A$2:$A$1001,customers!$C$2:$C$1001,,,)=0,"",_xlfn.XLOOKUP(orders!C451,customers!$A$2:$A$1001,customers!$C$2:$C$1001,,,))</f>
        <v>aharroldch@miibeian.gov.cn</v>
      </c>
      <c r="H451" s="9" t="str">
        <f>_xlfn.XLOOKUP(C451,customers!$A$2:$A$1001,customers!$G$2:$G$1001,"")</f>
        <v>United States</v>
      </c>
      <c r="I451" s="10" t="str">
        <f>INDEX(products!$A$2:$G$49,MATCH(orders!$D451,products!$A$2:$A$49,0),MATCH(orders!I$1,products!$A$1:$G$1,0))</f>
        <v>Rob</v>
      </c>
      <c r="J451" s="10" t="str">
        <f>INDEX(products!$A$2:$G$49,MATCH(orders!$D451,products!$A$2:$A$49,0),MATCH(orders!J$1,products!$A$1:$G$1,0))</f>
        <v>D</v>
      </c>
      <c r="K451" s="11">
        <f>INDEX(products!$A$2:$G$49,MATCH(orders!$D451,products!$A$2:$A$49,0),MATCH(orders!K$1,products!$A$1:$G$1,0))</f>
        <v>0.2</v>
      </c>
      <c r="L451" s="12">
        <f>INDEX(products!$A$2:$G$49,MATCH(orders!$D451,products!$A$2:$A$49,0),MATCH(orders!L$1,products!$A$1:$G$1,0))</f>
        <v>2.6849999999999996</v>
      </c>
      <c r="M451" s="12">
        <f t="shared" ref="M451:M514" si="21">L451*E451</f>
        <v>5.3699999999999992</v>
      </c>
      <c r="N451" s="10" t="str">
        <f t="shared" ref="N451:N514" si="22">IF(I451="Rob","Robusta",IF(I451="Exc","Excelsa",IF(I451="Ara","Arabica",IF(I451="Lib","Liberica"))))</f>
        <v>Robusta</v>
      </c>
      <c r="O451" s="10" t="str">
        <f t="shared" ref="O451:O514" si="23">IF(J451="M","Medium",IF(J451="L","Light",IF(J451="D","Dark")))</f>
        <v>Dark</v>
      </c>
      <c r="P451" s="10" t="str">
        <f>_xlfn.XLOOKUP(Tableau1[[#This Row],[Customer ID]],customers!A$2:A$1001,customers!I$2:I$1001)</f>
        <v>No</v>
      </c>
    </row>
    <row r="452" spans="1:16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9" t="str">
        <f>_xlfn.XLOOKUP(orders!C452,customers!$A$2:$A$1001,customers!$B$2:$B$1001)</f>
        <v>Sim Pamphilon</v>
      </c>
      <c r="G452" s="9" t="str">
        <f>IF(_xlfn.XLOOKUP(orders!C452,customers!$A$2:$A$1001,customers!$C$2:$C$1001,,,)=0,"",_xlfn.XLOOKUP(orders!C452,customers!$A$2:$A$1001,customers!$C$2:$C$1001,,,))</f>
        <v>spamphilonci@mlb.com</v>
      </c>
      <c r="H452" s="9" t="str">
        <f>_xlfn.XLOOKUP(C452,customers!$A$2:$A$1001,customers!$G$2:$G$1001,"")</f>
        <v>Ireland</v>
      </c>
      <c r="I452" s="10" t="str">
        <f>INDEX(products!$A$2:$G$49,MATCH(orders!$D452,products!$A$2:$A$49,0),MATCH(orders!I$1,products!$A$1:$G$1,0))</f>
        <v>Lib</v>
      </c>
      <c r="J452" s="10" t="str">
        <f>INDEX(products!$A$2:$G$49,MATCH(orders!$D452,products!$A$2:$A$49,0),MATCH(orders!J$1,products!$A$1:$G$1,0))</f>
        <v>L</v>
      </c>
      <c r="K452" s="11">
        <f>INDEX(products!$A$2:$G$49,MATCH(orders!$D452,products!$A$2:$A$49,0),MATCH(orders!K$1,products!$A$1:$G$1,0))</f>
        <v>0.2</v>
      </c>
      <c r="L452" s="12">
        <f>INDEX(products!$A$2:$G$49,MATCH(orders!$D452,products!$A$2:$A$49,0),MATCH(orders!L$1,products!$A$1:$G$1,0))</f>
        <v>4.7549999999999999</v>
      </c>
      <c r="M452" s="12">
        <f t="shared" si="21"/>
        <v>23.774999999999999</v>
      </c>
      <c r="N452" s="10" t="str">
        <f t="shared" si="22"/>
        <v>Liberica</v>
      </c>
      <c r="O452" s="10" t="str">
        <f t="shared" si="23"/>
        <v>Light</v>
      </c>
      <c r="P452" s="10" t="str">
        <f>_xlfn.XLOOKUP(Tableau1[[#This Row],[Customer ID]],customers!A$2:A$1001,customers!I$2:I$1001)</f>
        <v>No</v>
      </c>
    </row>
    <row r="453" spans="1:16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9" t="str">
        <f>_xlfn.XLOOKUP(orders!C453,customers!$A$2:$A$1001,customers!$B$2:$B$1001)</f>
        <v>Mohandis Spurden</v>
      </c>
      <c r="G453" s="9" t="str">
        <f>IF(_xlfn.XLOOKUP(orders!C453,customers!$A$2:$A$1001,customers!$C$2:$C$1001,,,)=0,"",_xlfn.XLOOKUP(orders!C453,customers!$A$2:$A$1001,customers!$C$2:$C$1001,,,))</f>
        <v>mspurdencj@exblog.jp</v>
      </c>
      <c r="H453" s="9" t="str">
        <f>_xlfn.XLOOKUP(C453,customers!$A$2:$A$1001,customers!$G$2:$G$1001,"")</f>
        <v>United States</v>
      </c>
      <c r="I453" s="10" t="str">
        <f>INDEX(products!$A$2:$G$49,MATCH(orders!$D453,products!$A$2:$A$49,0),MATCH(orders!I$1,products!$A$1:$G$1,0))</f>
        <v>Rob</v>
      </c>
      <c r="J453" s="10" t="str">
        <f>INDEX(products!$A$2:$G$49,MATCH(orders!$D453,products!$A$2:$A$49,0),MATCH(orders!J$1,products!$A$1:$G$1,0))</f>
        <v>D</v>
      </c>
      <c r="K453" s="11">
        <f>INDEX(products!$A$2:$G$49,MATCH(orders!$D453,products!$A$2:$A$49,0),MATCH(orders!K$1,products!$A$1:$G$1,0))</f>
        <v>2.5</v>
      </c>
      <c r="L453" s="12">
        <f>INDEX(products!$A$2:$G$49,MATCH(orders!$D453,products!$A$2:$A$49,0),MATCH(orders!L$1,products!$A$1:$G$1,0))</f>
        <v>20.584999999999997</v>
      </c>
      <c r="M453" s="12">
        <f t="shared" si="21"/>
        <v>41.169999999999995</v>
      </c>
      <c r="N453" s="10" t="str">
        <f t="shared" si="22"/>
        <v>Robusta</v>
      </c>
      <c r="O453" s="10" t="str">
        <f t="shared" si="23"/>
        <v>Dark</v>
      </c>
      <c r="P453" s="10" t="str">
        <f>_xlfn.XLOOKUP(Tableau1[[#This Row],[Customer ID]],customers!A$2:A$1001,customers!I$2:I$1001)</f>
        <v>Yes</v>
      </c>
    </row>
    <row r="454" spans="1:16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9" t="str">
        <f>_xlfn.XLOOKUP(orders!C454,customers!$A$2:$A$1001,customers!$B$2:$B$1001)</f>
        <v>Morgen Seson</v>
      </c>
      <c r="G454" s="9" t="str">
        <f>IF(_xlfn.XLOOKUP(orders!C454,customers!$A$2:$A$1001,customers!$C$2:$C$1001,,,)=0,"",_xlfn.XLOOKUP(orders!C454,customers!$A$2:$A$1001,customers!$C$2:$C$1001,,,))</f>
        <v>msesonck@census.gov</v>
      </c>
      <c r="H454" s="9" t="str">
        <f>_xlfn.XLOOKUP(C454,customers!$A$2:$A$1001,customers!$G$2:$G$1001,"")</f>
        <v>United States</v>
      </c>
      <c r="I454" s="10" t="str">
        <f>INDEX(products!$A$2:$G$49,MATCH(orders!$D454,products!$A$2:$A$49,0),MATCH(orders!I$1,products!$A$1:$G$1,0))</f>
        <v>Ara</v>
      </c>
      <c r="J454" s="10" t="str">
        <f>INDEX(products!$A$2:$G$49,MATCH(orders!$D454,products!$A$2:$A$49,0),MATCH(orders!J$1,products!$A$1:$G$1,0))</f>
        <v>L</v>
      </c>
      <c r="K454" s="11">
        <f>INDEX(products!$A$2:$G$49,MATCH(orders!$D454,products!$A$2:$A$49,0),MATCH(orders!K$1,products!$A$1:$G$1,0))</f>
        <v>0.2</v>
      </c>
      <c r="L454" s="12">
        <f>INDEX(products!$A$2:$G$49,MATCH(orders!$D454,products!$A$2:$A$49,0),MATCH(orders!L$1,products!$A$1:$G$1,0))</f>
        <v>3.8849999999999998</v>
      </c>
      <c r="M454" s="12">
        <f t="shared" si="21"/>
        <v>11.654999999999999</v>
      </c>
      <c r="N454" s="10" t="str">
        <f t="shared" si="22"/>
        <v>Arabica</v>
      </c>
      <c r="O454" s="10" t="str">
        <f t="shared" si="23"/>
        <v>Light</v>
      </c>
      <c r="P454" s="10" t="str">
        <f>_xlfn.XLOOKUP(Tableau1[[#This Row],[Customer ID]],customers!A$2:A$1001,customers!I$2:I$1001)</f>
        <v>No</v>
      </c>
    </row>
    <row r="455" spans="1:16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9" t="str">
        <f>_xlfn.XLOOKUP(orders!C455,customers!$A$2:$A$1001,customers!$B$2:$B$1001)</f>
        <v>Nalani Pirrone</v>
      </c>
      <c r="G455" s="9" t="str">
        <f>IF(_xlfn.XLOOKUP(orders!C455,customers!$A$2:$A$1001,customers!$C$2:$C$1001,,,)=0,"",_xlfn.XLOOKUP(orders!C455,customers!$A$2:$A$1001,customers!$C$2:$C$1001,,,))</f>
        <v>npirronecl@weibo.com</v>
      </c>
      <c r="H455" s="9" t="str">
        <f>_xlfn.XLOOKUP(C455,customers!$A$2:$A$1001,customers!$G$2:$G$1001,"")</f>
        <v>United States</v>
      </c>
      <c r="I455" s="10" t="str">
        <f>INDEX(products!$A$2:$G$49,MATCH(orders!$D455,products!$A$2:$A$49,0),MATCH(orders!I$1,products!$A$1:$G$1,0))</f>
        <v>Lib</v>
      </c>
      <c r="J455" s="10" t="str">
        <f>INDEX(products!$A$2:$G$49,MATCH(orders!$D455,products!$A$2:$A$49,0),MATCH(orders!J$1,products!$A$1:$G$1,0))</f>
        <v>L</v>
      </c>
      <c r="K455" s="11">
        <f>INDEX(products!$A$2:$G$49,MATCH(orders!$D455,products!$A$2:$A$49,0),MATCH(orders!K$1,products!$A$1:$G$1,0))</f>
        <v>0.5</v>
      </c>
      <c r="L455" s="12">
        <f>INDEX(products!$A$2:$G$49,MATCH(orders!$D455,products!$A$2:$A$49,0),MATCH(orders!L$1,products!$A$1:$G$1,0))</f>
        <v>9.51</v>
      </c>
      <c r="M455" s="12">
        <f t="shared" si="21"/>
        <v>38.04</v>
      </c>
      <c r="N455" s="10" t="str">
        <f t="shared" si="22"/>
        <v>Liberica</v>
      </c>
      <c r="O455" s="10" t="str">
        <f t="shared" si="23"/>
        <v>Light</v>
      </c>
      <c r="P455" s="10" t="str">
        <f>_xlfn.XLOOKUP(Tableau1[[#This Row],[Customer ID]],customers!A$2:A$1001,customers!I$2:I$1001)</f>
        <v>No</v>
      </c>
    </row>
    <row r="456" spans="1:16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9" t="str">
        <f>_xlfn.XLOOKUP(orders!C456,customers!$A$2:$A$1001,customers!$B$2:$B$1001)</f>
        <v>Reube Cawley</v>
      </c>
      <c r="G456" s="9" t="str">
        <f>IF(_xlfn.XLOOKUP(orders!C456,customers!$A$2:$A$1001,customers!$C$2:$C$1001,,,)=0,"",_xlfn.XLOOKUP(orders!C456,customers!$A$2:$A$1001,customers!$C$2:$C$1001,,,))</f>
        <v>rcawleycm@yellowbook.com</v>
      </c>
      <c r="H456" s="9" t="str">
        <f>_xlfn.XLOOKUP(C456,customers!$A$2:$A$1001,customers!$G$2:$G$1001,"")</f>
        <v>Ireland</v>
      </c>
      <c r="I456" s="10" t="str">
        <f>INDEX(products!$A$2:$G$49,MATCH(orders!$D456,products!$A$2:$A$49,0),MATCH(orders!I$1,products!$A$1:$G$1,0))</f>
        <v>Rob</v>
      </c>
      <c r="J456" s="10" t="str">
        <f>INDEX(products!$A$2:$G$49,MATCH(orders!$D456,products!$A$2:$A$49,0),MATCH(orders!J$1,products!$A$1:$G$1,0))</f>
        <v>D</v>
      </c>
      <c r="K456" s="11">
        <f>INDEX(products!$A$2:$G$49,MATCH(orders!$D456,products!$A$2:$A$49,0),MATCH(orders!K$1,products!$A$1:$G$1,0))</f>
        <v>2.5</v>
      </c>
      <c r="L456" s="12">
        <f>INDEX(products!$A$2:$G$49,MATCH(orders!$D456,products!$A$2:$A$49,0),MATCH(orders!L$1,products!$A$1:$G$1,0))</f>
        <v>20.584999999999997</v>
      </c>
      <c r="M456" s="12">
        <f t="shared" si="21"/>
        <v>82.339999999999989</v>
      </c>
      <c r="N456" s="10" t="str">
        <f t="shared" si="22"/>
        <v>Robusta</v>
      </c>
      <c r="O456" s="10" t="str">
        <f t="shared" si="23"/>
        <v>Dark</v>
      </c>
      <c r="P456" s="10" t="str">
        <f>_xlfn.XLOOKUP(Tableau1[[#This Row],[Customer ID]],customers!A$2:A$1001,customers!I$2:I$1001)</f>
        <v>Yes</v>
      </c>
    </row>
    <row r="457" spans="1:16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9" t="str">
        <f>_xlfn.XLOOKUP(orders!C457,customers!$A$2:$A$1001,customers!$B$2:$B$1001)</f>
        <v>Stan Barribal</v>
      </c>
      <c r="G457" s="9" t="str">
        <f>IF(_xlfn.XLOOKUP(orders!C457,customers!$A$2:$A$1001,customers!$C$2:$C$1001,,,)=0,"",_xlfn.XLOOKUP(orders!C457,customers!$A$2:$A$1001,customers!$C$2:$C$1001,,,))</f>
        <v>sbarribalcn@microsoft.com</v>
      </c>
      <c r="H457" s="9" t="str">
        <f>_xlfn.XLOOKUP(C457,customers!$A$2:$A$1001,customers!$G$2:$G$1001,"")</f>
        <v>Ireland</v>
      </c>
      <c r="I457" s="10" t="str">
        <f>INDEX(products!$A$2:$G$49,MATCH(orders!$D457,products!$A$2:$A$49,0),MATCH(orders!I$1,products!$A$1:$G$1,0))</f>
        <v>Lib</v>
      </c>
      <c r="J457" s="10" t="str">
        <f>INDEX(products!$A$2:$G$49,MATCH(orders!$D457,products!$A$2:$A$49,0),MATCH(orders!J$1,products!$A$1:$G$1,0))</f>
        <v>L</v>
      </c>
      <c r="K457" s="11">
        <f>INDEX(products!$A$2:$G$49,MATCH(orders!$D457,products!$A$2:$A$49,0),MATCH(orders!K$1,products!$A$1:$G$1,0))</f>
        <v>0.2</v>
      </c>
      <c r="L457" s="12">
        <f>INDEX(products!$A$2:$G$49,MATCH(orders!$D457,products!$A$2:$A$49,0),MATCH(orders!L$1,products!$A$1:$G$1,0))</f>
        <v>4.7549999999999999</v>
      </c>
      <c r="M457" s="12">
        <f t="shared" si="21"/>
        <v>9.51</v>
      </c>
      <c r="N457" s="10" t="str">
        <f t="shared" si="22"/>
        <v>Liberica</v>
      </c>
      <c r="O457" s="10" t="str">
        <f t="shared" si="23"/>
        <v>Light</v>
      </c>
      <c r="P457" s="10" t="str">
        <f>_xlfn.XLOOKUP(Tableau1[[#This Row],[Customer ID]],customers!A$2:A$1001,customers!I$2:I$1001)</f>
        <v>Yes</v>
      </c>
    </row>
    <row r="458" spans="1:16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9" t="str">
        <f>_xlfn.XLOOKUP(orders!C458,customers!$A$2:$A$1001,customers!$B$2:$B$1001)</f>
        <v>Agnes Adamides</v>
      </c>
      <c r="G458" s="9" t="str">
        <f>IF(_xlfn.XLOOKUP(orders!C458,customers!$A$2:$A$1001,customers!$C$2:$C$1001,,,)=0,"",_xlfn.XLOOKUP(orders!C458,customers!$A$2:$A$1001,customers!$C$2:$C$1001,,,))</f>
        <v>aadamidesco@bizjournals.com</v>
      </c>
      <c r="H458" s="9" t="str">
        <f>_xlfn.XLOOKUP(C458,customers!$A$2:$A$1001,customers!$G$2:$G$1001,"")</f>
        <v>United Kingdom</v>
      </c>
      <c r="I458" s="10" t="str">
        <f>INDEX(products!$A$2:$G$49,MATCH(orders!$D458,products!$A$2:$A$49,0),MATCH(orders!I$1,products!$A$1:$G$1,0))</f>
        <v>Rob</v>
      </c>
      <c r="J458" s="10" t="str">
        <f>INDEX(products!$A$2:$G$49,MATCH(orders!$D458,products!$A$2:$A$49,0),MATCH(orders!J$1,products!$A$1:$G$1,0))</f>
        <v>D</v>
      </c>
      <c r="K458" s="11">
        <f>INDEX(products!$A$2:$G$49,MATCH(orders!$D458,products!$A$2:$A$49,0),MATCH(orders!K$1,products!$A$1:$G$1,0))</f>
        <v>2.5</v>
      </c>
      <c r="L458" s="12">
        <f>INDEX(products!$A$2:$G$49,MATCH(orders!$D458,products!$A$2:$A$49,0),MATCH(orders!L$1,products!$A$1:$G$1,0))</f>
        <v>20.584999999999997</v>
      </c>
      <c r="M458" s="12">
        <f t="shared" si="21"/>
        <v>41.169999999999995</v>
      </c>
      <c r="N458" s="10" t="str">
        <f t="shared" si="22"/>
        <v>Robusta</v>
      </c>
      <c r="O458" s="10" t="str">
        <f t="shared" si="23"/>
        <v>Dark</v>
      </c>
      <c r="P458" s="10" t="str">
        <f>_xlfn.XLOOKUP(Tableau1[[#This Row],[Customer ID]],customers!A$2:A$1001,customers!I$2:I$1001)</f>
        <v>No</v>
      </c>
    </row>
    <row r="459" spans="1:16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9" t="str">
        <f>_xlfn.XLOOKUP(orders!C459,customers!$A$2:$A$1001,customers!$B$2:$B$1001)</f>
        <v>Carmelita Thowes</v>
      </c>
      <c r="G459" s="9" t="str">
        <f>IF(_xlfn.XLOOKUP(orders!C459,customers!$A$2:$A$1001,customers!$C$2:$C$1001,,,)=0,"",_xlfn.XLOOKUP(orders!C459,customers!$A$2:$A$1001,customers!$C$2:$C$1001,,,))</f>
        <v>cthowescp@craigslist.org</v>
      </c>
      <c r="H459" s="9" t="str">
        <f>_xlfn.XLOOKUP(C459,customers!$A$2:$A$1001,customers!$G$2:$G$1001,"")</f>
        <v>United States</v>
      </c>
      <c r="I459" s="10" t="str">
        <f>INDEX(products!$A$2:$G$49,MATCH(orders!$D459,products!$A$2:$A$49,0),MATCH(orders!I$1,products!$A$1:$G$1,0))</f>
        <v>Lib</v>
      </c>
      <c r="J459" s="10" t="str">
        <f>INDEX(products!$A$2:$G$49,MATCH(orders!$D459,products!$A$2:$A$49,0),MATCH(orders!J$1,products!$A$1:$G$1,0))</f>
        <v>L</v>
      </c>
      <c r="K459" s="11">
        <f>INDEX(products!$A$2:$G$49,MATCH(orders!$D459,products!$A$2:$A$49,0),MATCH(orders!K$1,products!$A$1:$G$1,0))</f>
        <v>0.5</v>
      </c>
      <c r="L459" s="12">
        <f>INDEX(products!$A$2:$G$49,MATCH(orders!$D459,products!$A$2:$A$49,0),MATCH(orders!L$1,products!$A$1:$G$1,0))</f>
        <v>9.51</v>
      </c>
      <c r="M459" s="12">
        <f t="shared" si="21"/>
        <v>47.55</v>
      </c>
      <c r="N459" s="10" t="str">
        <f t="shared" si="22"/>
        <v>Liberica</v>
      </c>
      <c r="O459" s="10" t="str">
        <f t="shared" si="23"/>
        <v>Light</v>
      </c>
      <c r="P459" s="10" t="str">
        <f>_xlfn.XLOOKUP(Tableau1[[#This Row],[Customer ID]],customers!A$2:A$1001,customers!I$2:I$1001)</f>
        <v>No</v>
      </c>
    </row>
    <row r="460" spans="1:16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9" t="str">
        <f>_xlfn.XLOOKUP(orders!C460,customers!$A$2:$A$1001,customers!$B$2:$B$1001)</f>
        <v>Rodolfo Willoway</v>
      </c>
      <c r="G460" s="9" t="str">
        <f>IF(_xlfn.XLOOKUP(orders!C460,customers!$A$2:$A$1001,customers!$C$2:$C$1001,,,)=0,"",_xlfn.XLOOKUP(orders!C460,customers!$A$2:$A$1001,customers!$C$2:$C$1001,,,))</f>
        <v>rwillowaycq@admin.ch</v>
      </c>
      <c r="H460" s="9" t="str">
        <f>_xlfn.XLOOKUP(C460,customers!$A$2:$A$1001,customers!$G$2:$G$1001,"")</f>
        <v>United States</v>
      </c>
      <c r="I460" s="10" t="str">
        <f>INDEX(products!$A$2:$G$49,MATCH(orders!$D460,products!$A$2:$A$49,0),MATCH(orders!I$1,products!$A$1:$G$1,0))</f>
        <v>Ara</v>
      </c>
      <c r="J460" s="10" t="str">
        <f>INDEX(products!$A$2:$G$49,MATCH(orders!$D460,products!$A$2:$A$49,0),MATCH(orders!J$1,products!$A$1:$G$1,0))</f>
        <v>M</v>
      </c>
      <c r="K460" s="11">
        <f>INDEX(products!$A$2:$G$49,MATCH(orders!$D460,products!$A$2:$A$49,0),MATCH(orders!K$1,products!$A$1:$G$1,0))</f>
        <v>1</v>
      </c>
      <c r="L460" s="12">
        <f>INDEX(products!$A$2:$G$49,MATCH(orders!$D460,products!$A$2:$A$49,0),MATCH(orders!L$1,products!$A$1:$G$1,0))</f>
        <v>11.25</v>
      </c>
      <c r="M460" s="12">
        <f t="shared" si="21"/>
        <v>45</v>
      </c>
      <c r="N460" s="10" t="str">
        <f t="shared" si="22"/>
        <v>Arabica</v>
      </c>
      <c r="O460" s="10" t="str">
        <f t="shared" si="23"/>
        <v>Medium</v>
      </c>
      <c r="P460" s="10" t="str">
        <f>_xlfn.XLOOKUP(Tableau1[[#This Row],[Customer ID]],customers!A$2:A$1001,customers!I$2:I$1001)</f>
        <v>No</v>
      </c>
    </row>
    <row r="461" spans="1:16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9" t="str">
        <f>_xlfn.XLOOKUP(orders!C461,customers!$A$2:$A$1001,customers!$B$2:$B$1001)</f>
        <v>Alvis Elwin</v>
      </c>
      <c r="G461" s="9" t="str">
        <f>IF(_xlfn.XLOOKUP(orders!C461,customers!$A$2:$A$1001,customers!$C$2:$C$1001,,,)=0,"",_xlfn.XLOOKUP(orders!C461,customers!$A$2:$A$1001,customers!$C$2:$C$1001,,,))</f>
        <v>aelwincr@privacy.gov.au</v>
      </c>
      <c r="H461" s="9" t="str">
        <f>_xlfn.XLOOKUP(C461,customers!$A$2:$A$1001,customers!$G$2:$G$1001,"")</f>
        <v>United States</v>
      </c>
      <c r="I461" s="10" t="str">
        <f>INDEX(products!$A$2:$G$49,MATCH(orders!$D461,products!$A$2:$A$49,0),MATCH(orders!I$1,products!$A$1:$G$1,0))</f>
        <v>Lib</v>
      </c>
      <c r="J461" s="10" t="str">
        <f>INDEX(products!$A$2:$G$49,MATCH(orders!$D461,products!$A$2:$A$49,0),MATCH(orders!J$1,products!$A$1:$G$1,0))</f>
        <v>L</v>
      </c>
      <c r="K461" s="11">
        <f>INDEX(products!$A$2:$G$49,MATCH(orders!$D461,products!$A$2:$A$49,0),MATCH(orders!K$1,products!$A$1:$G$1,0))</f>
        <v>0.2</v>
      </c>
      <c r="L461" s="12">
        <f>INDEX(products!$A$2:$G$49,MATCH(orders!$D461,products!$A$2:$A$49,0),MATCH(orders!L$1,products!$A$1:$G$1,0))</f>
        <v>4.7549999999999999</v>
      </c>
      <c r="M461" s="12">
        <f t="shared" si="21"/>
        <v>23.774999999999999</v>
      </c>
      <c r="N461" s="10" t="str">
        <f t="shared" si="22"/>
        <v>Liberica</v>
      </c>
      <c r="O461" s="10" t="str">
        <f t="shared" si="23"/>
        <v>Light</v>
      </c>
      <c r="P461" s="10" t="str">
        <f>_xlfn.XLOOKUP(Tableau1[[#This Row],[Customer ID]],customers!A$2:A$1001,customers!I$2:I$1001)</f>
        <v>No</v>
      </c>
    </row>
    <row r="462" spans="1:16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9" t="str">
        <f>_xlfn.XLOOKUP(orders!C462,customers!$A$2:$A$1001,customers!$B$2:$B$1001)</f>
        <v>Araldo Bilbrook</v>
      </c>
      <c r="G462" s="9" t="str">
        <f>IF(_xlfn.XLOOKUP(orders!C462,customers!$A$2:$A$1001,customers!$C$2:$C$1001,,,)=0,"",_xlfn.XLOOKUP(orders!C462,customers!$A$2:$A$1001,customers!$C$2:$C$1001,,,))</f>
        <v>abilbrookcs@booking.com</v>
      </c>
      <c r="H462" s="9" t="str">
        <f>_xlfn.XLOOKUP(C462,customers!$A$2:$A$1001,customers!$G$2:$G$1001,"")</f>
        <v>Ireland</v>
      </c>
      <c r="I462" s="10" t="str">
        <f>INDEX(products!$A$2:$G$49,MATCH(orders!$D462,products!$A$2:$A$49,0),MATCH(orders!I$1,products!$A$1:$G$1,0))</f>
        <v>Rob</v>
      </c>
      <c r="J462" s="10" t="str">
        <f>INDEX(products!$A$2:$G$49,MATCH(orders!$D462,products!$A$2:$A$49,0),MATCH(orders!J$1,products!$A$1:$G$1,0))</f>
        <v>D</v>
      </c>
      <c r="K462" s="11">
        <f>INDEX(products!$A$2:$G$49,MATCH(orders!$D462,products!$A$2:$A$49,0),MATCH(orders!K$1,products!$A$1:$G$1,0))</f>
        <v>0.5</v>
      </c>
      <c r="L462" s="12">
        <f>INDEX(products!$A$2:$G$49,MATCH(orders!$D462,products!$A$2:$A$49,0),MATCH(orders!L$1,products!$A$1:$G$1,0))</f>
        <v>5.3699999999999992</v>
      </c>
      <c r="M462" s="12">
        <f t="shared" si="21"/>
        <v>16.11</v>
      </c>
      <c r="N462" s="10" t="str">
        <f t="shared" si="22"/>
        <v>Robusta</v>
      </c>
      <c r="O462" s="10" t="str">
        <f t="shared" si="23"/>
        <v>Dark</v>
      </c>
      <c r="P462" s="10" t="str">
        <f>_xlfn.XLOOKUP(Tableau1[[#This Row],[Customer ID]],customers!A$2:A$1001,customers!I$2:I$1001)</f>
        <v>Yes</v>
      </c>
    </row>
    <row r="463" spans="1:16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9" t="str">
        <f>_xlfn.XLOOKUP(orders!C463,customers!$A$2:$A$1001,customers!$B$2:$B$1001)</f>
        <v>Ransell McKall</v>
      </c>
      <c r="G463" s="9" t="str">
        <f>IF(_xlfn.XLOOKUP(orders!C463,customers!$A$2:$A$1001,customers!$C$2:$C$1001,,,)=0,"",_xlfn.XLOOKUP(orders!C463,customers!$A$2:$A$1001,customers!$C$2:$C$1001,,,))</f>
        <v>rmckallct@sakura.ne.jp</v>
      </c>
      <c r="H463" s="9" t="str">
        <f>_xlfn.XLOOKUP(C463,customers!$A$2:$A$1001,customers!$G$2:$G$1001,"")</f>
        <v>United Kingdom</v>
      </c>
      <c r="I463" s="10" t="str">
        <f>INDEX(products!$A$2:$G$49,MATCH(orders!$D463,products!$A$2:$A$49,0),MATCH(orders!I$1,products!$A$1:$G$1,0))</f>
        <v>Rob</v>
      </c>
      <c r="J463" s="10" t="str">
        <f>INDEX(products!$A$2:$G$49,MATCH(orders!$D463,products!$A$2:$A$49,0),MATCH(orders!J$1,products!$A$1:$G$1,0))</f>
        <v>D</v>
      </c>
      <c r="K463" s="11">
        <f>INDEX(products!$A$2:$G$49,MATCH(orders!$D463,products!$A$2:$A$49,0),MATCH(orders!K$1,products!$A$1:$G$1,0))</f>
        <v>0.2</v>
      </c>
      <c r="L463" s="12">
        <f>INDEX(products!$A$2:$G$49,MATCH(orders!$D463,products!$A$2:$A$49,0),MATCH(orders!L$1,products!$A$1:$G$1,0))</f>
        <v>2.6849999999999996</v>
      </c>
      <c r="M463" s="12">
        <f t="shared" si="21"/>
        <v>10.739999999999998</v>
      </c>
      <c r="N463" s="10" t="str">
        <f t="shared" si="22"/>
        <v>Robusta</v>
      </c>
      <c r="O463" s="10" t="str">
        <f t="shared" si="23"/>
        <v>Dark</v>
      </c>
      <c r="P463" s="10" t="str">
        <f>_xlfn.XLOOKUP(Tableau1[[#This Row],[Customer ID]],customers!A$2:A$1001,customers!I$2:I$1001)</f>
        <v>Yes</v>
      </c>
    </row>
    <row r="464" spans="1:16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9" t="str">
        <f>_xlfn.XLOOKUP(orders!C464,customers!$A$2:$A$1001,customers!$B$2:$B$1001)</f>
        <v>Borg Daile</v>
      </c>
      <c r="G464" s="9" t="str">
        <f>IF(_xlfn.XLOOKUP(orders!C464,customers!$A$2:$A$1001,customers!$C$2:$C$1001,,,)=0,"",_xlfn.XLOOKUP(orders!C464,customers!$A$2:$A$1001,customers!$C$2:$C$1001,,,))</f>
        <v>bdailecu@vistaprint.com</v>
      </c>
      <c r="H464" s="9" t="str">
        <f>_xlfn.XLOOKUP(C464,customers!$A$2:$A$1001,customers!$G$2:$G$1001,"")</f>
        <v>United States</v>
      </c>
      <c r="I464" s="10" t="str">
        <f>INDEX(products!$A$2:$G$49,MATCH(orders!$D464,products!$A$2:$A$49,0),MATCH(orders!I$1,products!$A$1:$G$1,0))</f>
        <v>Ara</v>
      </c>
      <c r="J464" s="10" t="str">
        <f>INDEX(products!$A$2:$G$49,MATCH(orders!$D464,products!$A$2:$A$49,0),MATCH(orders!J$1,products!$A$1:$G$1,0))</f>
        <v>D</v>
      </c>
      <c r="K464" s="11">
        <f>INDEX(products!$A$2:$G$49,MATCH(orders!$D464,products!$A$2:$A$49,0),MATCH(orders!K$1,products!$A$1:$G$1,0))</f>
        <v>1</v>
      </c>
      <c r="L464" s="12">
        <f>INDEX(products!$A$2:$G$49,MATCH(orders!$D464,products!$A$2:$A$49,0),MATCH(orders!L$1,products!$A$1:$G$1,0))</f>
        <v>9.9499999999999993</v>
      </c>
      <c r="M464" s="12">
        <f t="shared" si="21"/>
        <v>49.75</v>
      </c>
      <c r="N464" s="10" t="str">
        <f t="shared" si="22"/>
        <v>Arabica</v>
      </c>
      <c r="O464" s="10" t="str">
        <f t="shared" si="23"/>
        <v>Dark</v>
      </c>
      <c r="P464" s="10" t="str">
        <f>_xlfn.XLOOKUP(Tableau1[[#This Row],[Customer ID]],customers!A$2:A$1001,customers!I$2:I$1001)</f>
        <v>Yes</v>
      </c>
    </row>
    <row r="465" spans="1:16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9" t="str">
        <f>_xlfn.XLOOKUP(orders!C465,customers!$A$2:$A$1001,customers!$B$2:$B$1001)</f>
        <v>Adolphe Treherne</v>
      </c>
      <c r="G465" s="9" t="str">
        <f>IF(_xlfn.XLOOKUP(orders!C465,customers!$A$2:$A$1001,customers!$C$2:$C$1001,,,)=0,"",_xlfn.XLOOKUP(orders!C465,customers!$A$2:$A$1001,customers!$C$2:$C$1001,,,))</f>
        <v>atrehernecv@state.tx.us</v>
      </c>
      <c r="H465" s="9" t="str">
        <f>_xlfn.XLOOKUP(C465,customers!$A$2:$A$1001,customers!$G$2:$G$1001,"")</f>
        <v>Ireland</v>
      </c>
      <c r="I465" s="10" t="str">
        <f>INDEX(products!$A$2:$G$49,MATCH(orders!$D465,products!$A$2:$A$49,0),MATCH(orders!I$1,products!$A$1:$G$1,0))</f>
        <v>Exc</v>
      </c>
      <c r="J465" s="10" t="str">
        <f>INDEX(products!$A$2:$G$49,MATCH(orders!$D465,products!$A$2:$A$49,0),MATCH(orders!J$1,products!$A$1:$G$1,0))</f>
        <v>M</v>
      </c>
      <c r="K465" s="11">
        <f>INDEX(products!$A$2:$G$49,MATCH(orders!$D465,products!$A$2:$A$49,0),MATCH(orders!K$1,products!$A$1:$G$1,0))</f>
        <v>1</v>
      </c>
      <c r="L465" s="12">
        <f>INDEX(products!$A$2:$G$49,MATCH(orders!$D465,products!$A$2:$A$49,0),MATCH(orders!L$1,products!$A$1:$G$1,0))</f>
        <v>13.75</v>
      </c>
      <c r="M465" s="12">
        <f t="shared" si="21"/>
        <v>27.5</v>
      </c>
      <c r="N465" s="10" t="str">
        <f t="shared" si="22"/>
        <v>Excelsa</v>
      </c>
      <c r="O465" s="10" t="str">
        <f t="shared" si="23"/>
        <v>Medium</v>
      </c>
      <c r="P465" s="10" t="str">
        <f>_xlfn.XLOOKUP(Tableau1[[#This Row],[Customer ID]],customers!A$2:A$1001,customers!I$2:I$1001)</f>
        <v>No</v>
      </c>
    </row>
    <row r="466" spans="1:16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9" t="str">
        <f>_xlfn.XLOOKUP(orders!C466,customers!$A$2:$A$1001,customers!$B$2:$B$1001)</f>
        <v>Annetta Brentnall</v>
      </c>
      <c r="G466" s="9" t="str">
        <f>IF(_xlfn.XLOOKUP(orders!C466,customers!$A$2:$A$1001,customers!$C$2:$C$1001,,,)=0,"",_xlfn.XLOOKUP(orders!C466,customers!$A$2:$A$1001,customers!$C$2:$C$1001,,,))</f>
        <v>abrentnallcw@biglobe.ne.jp</v>
      </c>
      <c r="H466" s="9" t="str">
        <f>_xlfn.XLOOKUP(C466,customers!$A$2:$A$1001,customers!$G$2:$G$1001,"")</f>
        <v>United Kingdom</v>
      </c>
      <c r="I466" s="10" t="str">
        <f>INDEX(products!$A$2:$G$49,MATCH(orders!$D466,products!$A$2:$A$49,0),MATCH(orders!I$1,products!$A$1:$G$1,0))</f>
        <v>Lib</v>
      </c>
      <c r="J466" s="10" t="str">
        <f>INDEX(products!$A$2:$G$49,MATCH(orders!$D466,products!$A$2:$A$49,0),MATCH(orders!J$1,products!$A$1:$G$1,0))</f>
        <v>D</v>
      </c>
      <c r="K466" s="11">
        <f>INDEX(products!$A$2:$G$49,MATCH(orders!$D466,products!$A$2:$A$49,0),MATCH(orders!K$1,products!$A$1:$G$1,0))</f>
        <v>2.5</v>
      </c>
      <c r="L466" s="12">
        <f>INDEX(products!$A$2:$G$49,MATCH(orders!$D466,products!$A$2:$A$49,0),MATCH(orders!L$1,products!$A$1:$G$1,0))</f>
        <v>29.784999999999997</v>
      </c>
      <c r="M466" s="12">
        <f t="shared" si="21"/>
        <v>119.13999999999999</v>
      </c>
      <c r="N466" s="10" t="str">
        <f t="shared" si="22"/>
        <v>Liberica</v>
      </c>
      <c r="O466" s="10" t="str">
        <f t="shared" si="23"/>
        <v>Dark</v>
      </c>
      <c r="P466" s="10" t="str">
        <f>_xlfn.XLOOKUP(Tableau1[[#This Row],[Customer ID]],customers!A$2:A$1001,customers!I$2:I$1001)</f>
        <v>No</v>
      </c>
    </row>
    <row r="467" spans="1:16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9" t="str">
        <f>_xlfn.XLOOKUP(orders!C467,customers!$A$2:$A$1001,customers!$B$2:$B$1001)</f>
        <v>Dick Drinkall</v>
      </c>
      <c r="G467" s="9" t="str">
        <f>IF(_xlfn.XLOOKUP(orders!C467,customers!$A$2:$A$1001,customers!$C$2:$C$1001,,,)=0,"",_xlfn.XLOOKUP(orders!C467,customers!$A$2:$A$1001,customers!$C$2:$C$1001,,,))</f>
        <v>ddrinkallcx@psu.edu</v>
      </c>
      <c r="H467" s="9" t="str">
        <f>_xlfn.XLOOKUP(C467,customers!$A$2:$A$1001,customers!$G$2:$G$1001,"")</f>
        <v>United States</v>
      </c>
      <c r="I467" s="10" t="str">
        <f>INDEX(products!$A$2:$G$49,MATCH(orders!$D467,products!$A$2:$A$49,0),MATCH(orders!I$1,products!$A$1:$G$1,0))</f>
        <v>Rob</v>
      </c>
      <c r="J467" s="10" t="str">
        <f>INDEX(products!$A$2:$G$49,MATCH(orders!$D467,products!$A$2:$A$49,0),MATCH(orders!J$1,products!$A$1:$G$1,0))</f>
        <v>D</v>
      </c>
      <c r="K467" s="11">
        <f>INDEX(products!$A$2:$G$49,MATCH(orders!$D467,products!$A$2:$A$49,0),MATCH(orders!K$1,products!$A$1:$G$1,0))</f>
        <v>2.5</v>
      </c>
      <c r="L467" s="12">
        <f>INDEX(products!$A$2:$G$49,MATCH(orders!$D467,products!$A$2:$A$49,0),MATCH(orders!L$1,products!$A$1:$G$1,0))</f>
        <v>20.584999999999997</v>
      </c>
      <c r="M467" s="12">
        <f t="shared" si="21"/>
        <v>20.584999999999997</v>
      </c>
      <c r="N467" s="10" t="str">
        <f t="shared" si="22"/>
        <v>Robusta</v>
      </c>
      <c r="O467" s="10" t="str">
        <f t="shared" si="23"/>
        <v>Dark</v>
      </c>
      <c r="P467" s="10" t="str">
        <f>_xlfn.XLOOKUP(Tableau1[[#This Row],[Customer ID]],customers!A$2:A$1001,customers!I$2:I$1001)</f>
        <v>Yes</v>
      </c>
    </row>
    <row r="468" spans="1:16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9" t="str">
        <f>_xlfn.XLOOKUP(orders!C468,customers!$A$2:$A$1001,customers!$B$2:$B$1001)</f>
        <v>Dagny Kornel</v>
      </c>
      <c r="G468" s="9" t="str">
        <f>IF(_xlfn.XLOOKUP(orders!C468,customers!$A$2:$A$1001,customers!$C$2:$C$1001,,,)=0,"",_xlfn.XLOOKUP(orders!C468,customers!$A$2:$A$1001,customers!$C$2:$C$1001,,,))</f>
        <v>dkornelcy@cyberchimps.com</v>
      </c>
      <c r="H468" s="9" t="str">
        <f>_xlfn.XLOOKUP(C468,customers!$A$2:$A$1001,customers!$G$2:$G$1001,"")</f>
        <v>United States</v>
      </c>
      <c r="I468" s="10" t="str">
        <f>INDEX(products!$A$2:$G$49,MATCH(orders!$D468,products!$A$2:$A$49,0),MATCH(orders!I$1,products!$A$1:$G$1,0))</f>
        <v>Ara</v>
      </c>
      <c r="J468" s="10" t="str">
        <f>INDEX(products!$A$2:$G$49,MATCH(orders!$D468,products!$A$2:$A$49,0),MATCH(orders!J$1,products!$A$1:$G$1,0))</f>
        <v>D</v>
      </c>
      <c r="K468" s="11">
        <f>INDEX(products!$A$2:$G$49,MATCH(orders!$D468,products!$A$2:$A$49,0),MATCH(orders!K$1,products!$A$1:$G$1,0))</f>
        <v>0.2</v>
      </c>
      <c r="L468" s="12">
        <f>INDEX(products!$A$2:$G$49,MATCH(orders!$D468,products!$A$2:$A$49,0),MATCH(orders!L$1,products!$A$1:$G$1,0))</f>
        <v>2.9849999999999999</v>
      </c>
      <c r="M468" s="12">
        <f t="shared" si="21"/>
        <v>8.9550000000000001</v>
      </c>
      <c r="N468" s="10" t="str">
        <f t="shared" si="22"/>
        <v>Arabica</v>
      </c>
      <c r="O468" s="10" t="str">
        <f t="shared" si="23"/>
        <v>Dark</v>
      </c>
      <c r="P468" s="10" t="str">
        <f>_xlfn.XLOOKUP(Tableau1[[#This Row],[Customer ID]],customers!A$2:A$1001,customers!I$2:I$1001)</f>
        <v>Yes</v>
      </c>
    </row>
    <row r="469" spans="1:16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9" t="str">
        <f>_xlfn.XLOOKUP(orders!C469,customers!$A$2:$A$1001,customers!$B$2:$B$1001)</f>
        <v>Rhona Lequeux</v>
      </c>
      <c r="G469" s="9" t="str">
        <f>IF(_xlfn.XLOOKUP(orders!C469,customers!$A$2:$A$1001,customers!$C$2:$C$1001,,,)=0,"",_xlfn.XLOOKUP(orders!C469,customers!$A$2:$A$1001,customers!$C$2:$C$1001,,,))</f>
        <v>rlequeuxcz@newyorker.com</v>
      </c>
      <c r="H469" s="9" t="str">
        <f>_xlfn.XLOOKUP(C469,customers!$A$2:$A$1001,customers!$G$2:$G$1001,"")</f>
        <v>United States</v>
      </c>
      <c r="I469" s="10" t="str">
        <f>INDEX(products!$A$2:$G$49,MATCH(orders!$D469,products!$A$2:$A$49,0),MATCH(orders!I$1,products!$A$1:$G$1,0))</f>
        <v>Ara</v>
      </c>
      <c r="J469" s="10" t="str">
        <f>INDEX(products!$A$2:$G$49,MATCH(orders!$D469,products!$A$2:$A$49,0),MATCH(orders!J$1,products!$A$1:$G$1,0))</f>
        <v>D</v>
      </c>
      <c r="K469" s="11">
        <f>INDEX(products!$A$2:$G$49,MATCH(orders!$D469,products!$A$2:$A$49,0),MATCH(orders!K$1,products!$A$1:$G$1,0))</f>
        <v>0.5</v>
      </c>
      <c r="L469" s="12">
        <f>INDEX(products!$A$2:$G$49,MATCH(orders!$D469,products!$A$2:$A$49,0),MATCH(orders!L$1,products!$A$1:$G$1,0))</f>
        <v>5.97</v>
      </c>
      <c r="M469" s="12">
        <f t="shared" si="21"/>
        <v>5.97</v>
      </c>
      <c r="N469" s="10" t="str">
        <f t="shared" si="22"/>
        <v>Arabica</v>
      </c>
      <c r="O469" s="10" t="str">
        <f t="shared" si="23"/>
        <v>Dark</v>
      </c>
      <c r="P469" s="10" t="str">
        <f>_xlfn.XLOOKUP(Tableau1[[#This Row],[Customer ID]],customers!A$2:A$1001,customers!I$2:I$1001)</f>
        <v>No</v>
      </c>
    </row>
    <row r="470" spans="1:16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9" t="str">
        <f>_xlfn.XLOOKUP(orders!C470,customers!$A$2:$A$1001,customers!$B$2:$B$1001)</f>
        <v>Julius Mccaull</v>
      </c>
      <c r="G470" s="9" t="str">
        <f>IF(_xlfn.XLOOKUP(orders!C470,customers!$A$2:$A$1001,customers!$C$2:$C$1001,,,)=0,"",_xlfn.XLOOKUP(orders!C470,customers!$A$2:$A$1001,customers!$C$2:$C$1001,,,))</f>
        <v>jmccaulld0@parallels.com</v>
      </c>
      <c r="H470" s="9" t="str">
        <f>_xlfn.XLOOKUP(C470,customers!$A$2:$A$1001,customers!$G$2:$G$1001,"")</f>
        <v>United States</v>
      </c>
      <c r="I470" s="10" t="str">
        <f>INDEX(products!$A$2:$G$49,MATCH(orders!$D470,products!$A$2:$A$49,0),MATCH(orders!I$1,products!$A$1:$G$1,0))</f>
        <v>Exc</v>
      </c>
      <c r="J470" s="10" t="str">
        <f>INDEX(products!$A$2:$G$49,MATCH(orders!$D470,products!$A$2:$A$49,0),MATCH(orders!J$1,products!$A$1:$G$1,0))</f>
        <v>M</v>
      </c>
      <c r="K470" s="11">
        <f>INDEX(products!$A$2:$G$49,MATCH(orders!$D470,products!$A$2:$A$49,0),MATCH(orders!K$1,products!$A$1:$G$1,0))</f>
        <v>1</v>
      </c>
      <c r="L470" s="12">
        <f>INDEX(products!$A$2:$G$49,MATCH(orders!$D470,products!$A$2:$A$49,0),MATCH(orders!L$1,products!$A$1:$G$1,0))</f>
        <v>13.75</v>
      </c>
      <c r="M470" s="12">
        <f t="shared" si="21"/>
        <v>41.25</v>
      </c>
      <c r="N470" s="10" t="str">
        <f t="shared" si="22"/>
        <v>Excelsa</v>
      </c>
      <c r="O470" s="10" t="str">
        <f t="shared" si="23"/>
        <v>Medium</v>
      </c>
      <c r="P470" s="10" t="str">
        <f>_xlfn.XLOOKUP(Tableau1[[#This Row],[Customer ID]],customers!A$2:A$1001,customers!I$2:I$1001)</f>
        <v>Yes</v>
      </c>
    </row>
    <row r="471" spans="1:16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9" t="str">
        <f>_xlfn.XLOOKUP(orders!C471,customers!$A$2:$A$1001,customers!$B$2:$B$1001)</f>
        <v>Ailey Brash</v>
      </c>
      <c r="G471" s="9" t="str">
        <f>IF(_xlfn.XLOOKUP(orders!C471,customers!$A$2:$A$1001,customers!$C$2:$C$1001,,,)=0,"",_xlfn.XLOOKUP(orders!C471,customers!$A$2:$A$1001,customers!$C$2:$C$1001,,,))</f>
        <v>abrashda@plala.or.jp</v>
      </c>
      <c r="H471" s="9" t="str">
        <f>_xlfn.XLOOKUP(C471,customers!$A$2:$A$1001,customers!$G$2:$G$1001,"")</f>
        <v>United States</v>
      </c>
      <c r="I471" s="10" t="str">
        <f>INDEX(products!$A$2:$G$49,MATCH(orders!$D471,products!$A$2:$A$49,0),MATCH(orders!I$1,products!$A$1:$G$1,0))</f>
        <v>Exc</v>
      </c>
      <c r="J471" s="10" t="str">
        <f>INDEX(products!$A$2:$G$49,MATCH(orders!$D471,products!$A$2:$A$49,0),MATCH(orders!J$1,products!$A$1:$G$1,0))</f>
        <v>L</v>
      </c>
      <c r="K471" s="11">
        <f>INDEX(products!$A$2:$G$49,MATCH(orders!$D471,products!$A$2:$A$49,0),MATCH(orders!K$1,products!$A$1:$G$1,0))</f>
        <v>0.2</v>
      </c>
      <c r="L471" s="12">
        <f>INDEX(products!$A$2:$G$49,MATCH(orders!$D471,products!$A$2:$A$49,0),MATCH(orders!L$1,products!$A$1:$G$1,0))</f>
        <v>4.4550000000000001</v>
      </c>
      <c r="M471" s="12">
        <f t="shared" si="21"/>
        <v>22.274999999999999</v>
      </c>
      <c r="N471" s="10" t="str">
        <f t="shared" si="22"/>
        <v>Excelsa</v>
      </c>
      <c r="O471" s="10" t="str">
        <f t="shared" si="23"/>
        <v>Light</v>
      </c>
      <c r="P471" s="10" t="str">
        <f>_xlfn.XLOOKUP(Tableau1[[#This Row],[Customer ID]],customers!A$2:A$1001,customers!I$2:I$1001)</f>
        <v>Yes</v>
      </c>
    </row>
    <row r="472" spans="1:16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9" t="str">
        <f>_xlfn.XLOOKUP(orders!C472,customers!$A$2:$A$1001,customers!$B$2:$B$1001)</f>
        <v>Alberto Hutchinson</v>
      </c>
      <c r="G472" s="9" t="str">
        <f>IF(_xlfn.XLOOKUP(orders!C472,customers!$A$2:$A$1001,customers!$C$2:$C$1001,,,)=0,"",_xlfn.XLOOKUP(orders!C472,customers!$A$2:$A$1001,customers!$C$2:$C$1001,,,))</f>
        <v>ahutchinsond2@imgur.com</v>
      </c>
      <c r="H472" s="9" t="str">
        <f>_xlfn.XLOOKUP(C472,customers!$A$2:$A$1001,customers!$G$2:$G$1001,"")</f>
        <v>United States</v>
      </c>
      <c r="I472" s="10" t="str">
        <f>INDEX(products!$A$2:$G$49,MATCH(orders!$D472,products!$A$2:$A$49,0),MATCH(orders!I$1,products!$A$1:$G$1,0))</f>
        <v>Ara</v>
      </c>
      <c r="J472" s="10" t="str">
        <f>INDEX(products!$A$2:$G$49,MATCH(orders!$D472,products!$A$2:$A$49,0),MATCH(orders!J$1,products!$A$1:$G$1,0))</f>
        <v>M</v>
      </c>
      <c r="K472" s="11">
        <f>INDEX(products!$A$2:$G$49,MATCH(orders!$D472,products!$A$2:$A$49,0),MATCH(orders!K$1,products!$A$1:$G$1,0))</f>
        <v>0.5</v>
      </c>
      <c r="L472" s="12">
        <f>INDEX(products!$A$2:$G$49,MATCH(orders!$D472,products!$A$2:$A$49,0),MATCH(orders!L$1,products!$A$1:$G$1,0))</f>
        <v>6.75</v>
      </c>
      <c r="M472" s="12">
        <f t="shared" si="21"/>
        <v>6.75</v>
      </c>
      <c r="N472" s="10" t="str">
        <f t="shared" si="22"/>
        <v>Arabica</v>
      </c>
      <c r="O472" s="10" t="str">
        <f t="shared" si="23"/>
        <v>Medium</v>
      </c>
      <c r="P472" s="10" t="str">
        <f>_xlfn.XLOOKUP(Tableau1[[#This Row],[Customer ID]],customers!A$2:A$1001,customers!I$2:I$1001)</f>
        <v>Yes</v>
      </c>
    </row>
    <row r="473" spans="1:16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9" t="str">
        <f>_xlfn.XLOOKUP(orders!C473,customers!$A$2:$A$1001,customers!$B$2:$B$1001)</f>
        <v>Lamond Gheeraert</v>
      </c>
      <c r="G473" s="9" t="str">
        <f>IF(_xlfn.XLOOKUP(orders!C473,customers!$A$2:$A$1001,customers!$C$2:$C$1001,,,)=0,"",_xlfn.XLOOKUP(orders!C473,customers!$A$2:$A$1001,customers!$C$2:$C$1001,,,))</f>
        <v/>
      </c>
      <c r="H473" s="9" t="str">
        <f>_xlfn.XLOOKUP(C473,customers!$A$2:$A$1001,customers!$G$2:$G$1001,"")</f>
        <v>United States</v>
      </c>
      <c r="I473" s="10" t="str">
        <f>INDEX(products!$A$2:$G$49,MATCH(orders!$D473,products!$A$2:$A$49,0),MATCH(orders!I$1,products!$A$1:$G$1,0))</f>
        <v>Lib</v>
      </c>
      <c r="J473" s="10" t="str">
        <f>INDEX(products!$A$2:$G$49,MATCH(orders!$D473,products!$A$2:$A$49,0),MATCH(orders!J$1,products!$A$1:$G$1,0))</f>
        <v>M</v>
      </c>
      <c r="K473" s="11">
        <f>INDEX(products!$A$2:$G$49,MATCH(orders!$D473,products!$A$2:$A$49,0),MATCH(orders!K$1,products!$A$1:$G$1,0))</f>
        <v>2.5</v>
      </c>
      <c r="L473" s="12">
        <f>INDEX(products!$A$2:$G$49,MATCH(orders!$D473,products!$A$2:$A$49,0),MATCH(orders!L$1,products!$A$1:$G$1,0))</f>
        <v>33.464999999999996</v>
      </c>
      <c r="M473" s="12">
        <f t="shared" si="21"/>
        <v>133.85999999999999</v>
      </c>
      <c r="N473" s="10" t="str">
        <f t="shared" si="22"/>
        <v>Liberica</v>
      </c>
      <c r="O473" s="10" t="str">
        <f t="shared" si="23"/>
        <v>Medium</v>
      </c>
      <c r="P473" s="10" t="str">
        <f>_xlfn.XLOOKUP(Tableau1[[#This Row],[Customer ID]],customers!A$2:A$1001,customers!I$2:I$1001)</f>
        <v>Yes</v>
      </c>
    </row>
    <row r="474" spans="1:16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9" t="str">
        <f>_xlfn.XLOOKUP(orders!C474,customers!$A$2:$A$1001,customers!$B$2:$B$1001)</f>
        <v>Roxine Drivers</v>
      </c>
      <c r="G474" s="9" t="str">
        <f>IF(_xlfn.XLOOKUP(orders!C474,customers!$A$2:$A$1001,customers!$C$2:$C$1001,,,)=0,"",_xlfn.XLOOKUP(orders!C474,customers!$A$2:$A$1001,customers!$C$2:$C$1001,,,))</f>
        <v>rdriversd4@hexun.com</v>
      </c>
      <c r="H474" s="9" t="str">
        <f>_xlfn.XLOOKUP(C474,customers!$A$2:$A$1001,customers!$G$2:$G$1001,"")</f>
        <v>United States</v>
      </c>
      <c r="I474" s="10" t="str">
        <f>INDEX(products!$A$2:$G$49,MATCH(orders!$D474,products!$A$2:$A$49,0),MATCH(orders!I$1,products!$A$1:$G$1,0))</f>
        <v>Ara</v>
      </c>
      <c r="J474" s="10" t="str">
        <f>INDEX(products!$A$2:$G$49,MATCH(orders!$D474,products!$A$2:$A$49,0),MATCH(orders!J$1,products!$A$1:$G$1,0))</f>
        <v>D</v>
      </c>
      <c r="K474" s="11">
        <f>INDEX(products!$A$2:$G$49,MATCH(orders!$D474,products!$A$2:$A$49,0),MATCH(orders!K$1,products!$A$1:$G$1,0))</f>
        <v>0.2</v>
      </c>
      <c r="L474" s="12">
        <f>INDEX(products!$A$2:$G$49,MATCH(orders!$D474,products!$A$2:$A$49,0),MATCH(orders!L$1,products!$A$1:$G$1,0))</f>
        <v>2.9849999999999999</v>
      </c>
      <c r="M474" s="12">
        <f t="shared" si="21"/>
        <v>5.97</v>
      </c>
      <c r="N474" s="10" t="str">
        <f t="shared" si="22"/>
        <v>Arabica</v>
      </c>
      <c r="O474" s="10" t="str">
        <f t="shared" si="23"/>
        <v>Dark</v>
      </c>
      <c r="P474" s="10" t="str">
        <f>_xlfn.XLOOKUP(Tableau1[[#This Row],[Customer ID]],customers!A$2:A$1001,customers!I$2:I$1001)</f>
        <v>No</v>
      </c>
    </row>
    <row r="475" spans="1:16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9" t="str">
        <f>_xlfn.XLOOKUP(orders!C475,customers!$A$2:$A$1001,customers!$B$2:$B$1001)</f>
        <v>Heloise Zeal</v>
      </c>
      <c r="G475" s="9" t="str">
        <f>IF(_xlfn.XLOOKUP(orders!C475,customers!$A$2:$A$1001,customers!$C$2:$C$1001,,,)=0,"",_xlfn.XLOOKUP(orders!C475,customers!$A$2:$A$1001,customers!$C$2:$C$1001,,,))</f>
        <v>hzeald5@google.de</v>
      </c>
      <c r="H475" s="9" t="str">
        <f>_xlfn.XLOOKUP(C475,customers!$A$2:$A$1001,customers!$G$2:$G$1001,"")</f>
        <v>United States</v>
      </c>
      <c r="I475" s="10" t="str">
        <f>INDEX(products!$A$2:$G$49,MATCH(orders!$D475,products!$A$2:$A$49,0),MATCH(orders!I$1,products!$A$1:$G$1,0))</f>
        <v>Ara</v>
      </c>
      <c r="J475" s="10" t="str">
        <f>INDEX(products!$A$2:$G$49,MATCH(orders!$D475,products!$A$2:$A$49,0),MATCH(orders!J$1,products!$A$1:$G$1,0))</f>
        <v>L</v>
      </c>
      <c r="K475" s="11">
        <f>INDEX(products!$A$2:$G$49,MATCH(orders!$D475,products!$A$2:$A$49,0),MATCH(orders!K$1,products!$A$1:$G$1,0))</f>
        <v>1</v>
      </c>
      <c r="L475" s="12">
        <f>INDEX(products!$A$2:$G$49,MATCH(orders!$D475,products!$A$2:$A$49,0),MATCH(orders!L$1,products!$A$1:$G$1,0))</f>
        <v>12.95</v>
      </c>
      <c r="M475" s="12">
        <f t="shared" si="21"/>
        <v>25.9</v>
      </c>
      <c r="N475" s="10" t="str">
        <f t="shared" si="22"/>
        <v>Arabica</v>
      </c>
      <c r="O475" s="10" t="str">
        <f t="shared" si="23"/>
        <v>Light</v>
      </c>
      <c r="P475" s="10" t="str">
        <f>_xlfn.XLOOKUP(Tableau1[[#This Row],[Customer ID]],customers!A$2:A$1001,customers!I$2:I$1001)</f>
        <v>No</v>
      </c>
    </row>
    <row r="476" spans="1:16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9" t="str">
        <f>_xlfn.XLOOKUP(orders!C476,customers!$A$2:$A$1001,customers!$B$2:$B$1001)</f>
        <v>Granger Smallcombe</v>
      </c>
      <c r="G476" s="9" t="str">
        <f>IF(_xlfn.XLOOKUP(orders!C476,customers!$A$2:$A$1001,customers!$C$2:$C$1001,,,)=0,"",_xlfn.XLOOKUP(orders!C476,customers!$A$2:$A$1001,customers!$C$2:$C$1001,,,))</f>
        <v>gsmallcombed6@ucla.edu</v>
      </c>
      <c r="H476" s="9" t="str">
        <f>_xlfn.XLOOKUP(C476,customers!$A$2:$A$1001,customers!$G$2:$G$1001,"")</f>
        <v>Ireland</v>
      </c>
      <c r="I476" s="10" t="str">
        <f>INDEX(products!$A$2:$G$49,MATCH(orders!$D476,products!$A$2:$A$49,0),MATCH(orders!I$1,products!$A$1:$G$1,0))</f>
        <v>Exc</v>
      </c>
      <c r="J476" s="10" t="str">
        <f>INDEX(products!$A$2:$G$49,MATCH(orders!$D476,products!$A$2:$A$49,0),MATCH(orders!J$1,products!$A$1:$G$1,0))</f>
        <v>M</v>
      </c>
      <c r="K476" s="11">
        <f>INDEX(products!$A$2:$G$49,MATCH(orders!$D476,products!$A$2:$A$49,0),MATCH(orders!K$1,products!$A$1:$G$1,0))</f>
        <v>2.5</v>
      </c>
      <c r="L476" s="12">
        <f>INDEX(products!$A$2:$G$49,MATCH(orders!$D476,products!$A$2:$A$49,0),MATCH(orders!L$1,products!$A$1:$G$1,0))</f>
        <v>31.624999999999996</v>
      </c>
      <c r="M476" s="12">
        <f t="shared" si="21"/>
        <v>31.624999999999996</v>
      </c>
      <c r="N476" s="10" t="str">
        <f t="shared" si="22"/>
        <v>Excelsa</v>
      </c>
      <c r="O476" s="10" t="str">
        <f t="shared" si="23"/>
        <v>Medium</v>
      </c>
      <c r="P476" s="10" t="str">
        <f>_xlfn.XLOOKUP(Tableau1[[#This Row],[Customer ID]],customers!A$2:A$1001,customers!I$2:I$1001)</f>
        <v>Yes</v>
      </c>
    </row>
    <row r="477" spans="1:16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9" t="str">
        <f>_xlfn.XLOOKUP(orders!C477,customers!$A$2:$A$1001,customers!$B$2:$B$1001)</f>
        <v>Daryn Dibley</v>
      </c>
      <c r="G477" s="9" t="str">
        <f>IF(_xlfn.XLOOKUP(orders!C477,customers!$A$2:$A$1001,customers!$C$2:$C$1001,,,)=0,"",_xlfn.XLOOKUP(orders!C477,customers!$A$2:$A$1001,customers!$C$2:$C$1001,,,))</f>
        <v>ddibleyd7@feedburner.com</v>
      </c>
      <c r="H477" s="9" t="str">
        <f>_xlfn.XLOOKUP(C477,customers!$A$2:$A$1001,customers!$G$2:$G$1001,"")</f>
        <v>United States</v>
      </c>
      <c r="I477" s="10" t="str">
        <f>INDEX(products!$A$2:$G$49,MATCH(orders!$D477,products!$A$2:$A$49,0),MATCH(orders!I$1,products!$A$1:$G$1,0))</f>
        <v>Lib</v>
      </c>
      <c r="J477" s="10" t="str">
        <f>INDEX(products!$A$2:$G$49,MATCH(orders!$D477,products!$A$2:$A$49,0),MATCH(orders!J$1,products!$A$1:$G$1,0))</f>
        <v>M</v>
      </c>
      <c r="K477" s="11">
        <f>INDEX(products!$A$2:$G$49,MATCH(orders!$D477,products!$A$2:$A$49,0),MATCH(orders!K$1,products!$A$1:$G$1,0))</f>
        <v>0.2</v>
      </c>
      <c r="L477" s="12">
        <f>INDEX(products!$A$2:$G$49,MATCH(orders!$D477,products!$A$2:$A$49,0),MATCH(orders!L$1,products!$A$1:$G$1,0))</f>
        <v>4.3650000000000002</v>
      </c>
      <c r="M477" s="12">
        <f t="shared" si="21"/>
        <v>8.73</v>
      </c>
      <c r="N477" s="10" t="str">
        <f t="shared" si="22"/>
        <v>Liberica</v>
      </c>
      <c r="O477" s="10" t="str">
        <f t="shared" si="23"/>
        <v>Medium</v>
      </c>
      <c r="P477" s="10" t="str">
        <f>_xlfn.XLOOKUP(Tableau1[[#This Row],[Customer ID]],customers!A$2:A$1001,customers!I$2:I$1001)</f>
        <v>No</v>
      </c>
    </row>
    <row r="478" spans="1:16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9" t="str">
        <f>_xlfn.XLOOKUP(orders!C478,customers!$A$2:$A$1001,customers!$B$2:$B$1001)</f>
        <v>Gardy Dimitriou</v>
      </c>
      <c r="G478" s="9" t="str">
        <f>IF(_xlfn.XLOOKUP(orders!C478,customers!$A$2:$A$1001,customers!$C$2:$C$1001,,,)=0,"",_xlfn.XLOOKUP(orders!C478,customers!$A$2:$A$1001,customers!$C$2:$C$1001,,,))</f>
        <v>gdimitrioud8@chronoengine.com</v>
      </c>
      <c r="H478" s="9" t="str">
        <f>_xlfn.XLOOKUP(C478,customers!$A$2:$A$1001,customers!$G$2:$G$1001,"")</f>
        <v>United States</v>
      </c>
      <c r="I478" s="10" t="str">
        <f>INDEX(products!$A$2:$G$49,MATCH(orders!$D478,products!$A$2:$A$49,0),MATCH(orders!I$1,products!$A$1:$G$1,0))</f>
        <v>Exc</v>
      </c>
      <c r="J478" s="10" t="str">
        <f>INDEX(products!$A$2:$G$49,MATCH(orders!$D478,products!$A$2:$A$49,0),MATCH(orders!J$1,products!$A$1:$G$1,0))</f>
        <v>L</v>
      </c>
      <c r="K478" s="11">
        <f>INDEX(products!$A$2:$G$49,MATCH(orders!$D478,products!$A$2:$A$49,0),MATCH(orders!K$1,products!$A$1:$G$1,0))</f>
        <v>0.2</v>
      </c>
      <c r="L478" s="12">
        <f>INDEX(products!$A$2:$G$49,MATCH(orders!$D478,products!$A$2:$A$49,0),MATCH(orders!L$1,products!$A$1:$G$1,0))</f>
        <v>4.4550000000000001</v>
      </c>
      <c r="M478" s="12">
        <f t="shared" si="21"/>
        <v>26.73</v>
      </c>
      <c r="N478" s="10" t="str">
        <f t="shared" si="22"/>
        <v>Excelsa</v>
      </c>
      <c r="O478" s="10" t="str">
        <f t="shared" si="23"/>
        <v>Light</v>
      </c>
      <c r="P478" s="10" t="str">
        <f>_xlfn.XLOOKUP(Tableau1[[#This Row],[Customer ID]],customers!A$2:A$1001,customers!I$2:I$1001)</f>
        <v>Yes</v>
      </c>
    </row>
    <row r="479" spans="1:16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9" t="str">
        <f>_xlfn.XLOOKUP(orders!C479,customers!$A$2:$A$1001,customers!$B$2:$B$1001)</f>
        <v>Fanny Flanagan</v>
      </c>
      <c r="G479" s="9" t="str">
        <f>IF(_xlfn.XLOOKUP(orders!C479,customers!$A$2:$A$1001,customers!$C$2:$C$1001,,,)=0,"",_xlfn.XLOOKUP(orders!C479,customers!$A$2:$A$1001,customers!$C$2:$C$1001,,,))</f>
        <v>fflanagand9@woothemes.com</v>
      </c>
      <c r="H479" s="9" t="str">
        <f>_xlfn.XLOOKUP(C479,customers!$A$2:$A$1001,customers!$G$2:$G$1001,"")</f>
        <v>United States</v>
      </c>
      <c r="I479" s="10" t="str">
        <f>INDEX(products!$A$2:$G$49,MATCH(orders!$D479,products!$A$2:$A$49,0),MATCH(orders!I$1,products!$A$1:$G$1,0))</f>
        <v>Lib</v>
      </c>
      <c r="J479" s="10" t="str">
        <f>INDEX(products!$A$2:$G$49,MATCH(orders!$D479,products!$A$2:$A$49,0),MATCH(orders!J$1,products!$A$1:$G$1,0))</f>
        <v>M</v>
      </c>
      <c r="K479" s="11">
        <f>INDEX(products!$A$2:$G$49,MATCH(orders!$D479,products!$A$2:$A$49,0),MATCH(orders!K$1,products!$A$1:$G$1,0))</f>
        <v>0.2</v>
      </c>
      <c r="L479" s="12">
        <f>INDEX(products!$A$2:$G$49,MATCH(orders!$D479,products!$A$2:$A$49,0),MATCH(orders!L$1,products!$A$1:$G$1,0))</f>
        <v>4.3650000000000002</v>
      </c>
      <c r="M479" s="12">
        <f t="shared" si="21"/>
        <v>26.19</v>
      </c>
      <c r="N479" s="10" t="str">
        <f t="shared" si="22"/>
        <v>Liberica</v>
      </c>
      <c r="O479" s="10" t="str">
        <f t="shared" si="23"/>
        <v>Medium</v>
      </c>
      <c r="P479" s="10" t="str">
        <f>_xlfn.XLOOKUP(Tableau1[[#This Row],[Customer ID]],customers!A$2:A$1001,customers!I$2:I$1001)</f>
        <v>No</v>
      </c>
    </row>
    <row r="480" spans="1:16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9" t="str">
        <f>_xlfn.XLOOKUP(orders!C480,customers!$A$2:$A$1001,customers!$B$2:$B$1001)</f>
        <v>Ailey Brash</v>
      </c>
      <c r="G480" s="9" t="str">
        <f>IF(_xlfn.XLOOKUP(orders!C480,customers!$A$2:$A$1001,customers!$C$2:$C$1001,,,)=0,"",_xlfn.XLOOKUP(orders!C480,customers!$A$2:$A$1001,customers!$C$2:$C$1001,,,))</f>
        <v>abrashda@plala.or.jp</v>
      </c>
      <c r="H480" s="9" t="str">
        <f>_xlfn.XLOOKUP(C480,customers!$A$2:$A$1001,customers!$G$2:$G$1001,"")</f>
        <v>United States</v>
      </c>
      <c r="I480" s="10" t="str">
        <f>INDEX(products!$A$2:$G$49,MATCH(orders!$D480,products!$A$2:$A$49,0),MATCH(orders!I$1,products!$A$1:$G$1,0))</f>
        <v>Rob</v>
      </c>
      <c r="J480" s="10" t="str">
        <f>INDEX(products!$A$2:$G$49,MATCH(orders!$D480,products!$A$2:$A$49,0),MATCH(orders!J$1,products!$A$1:$G$1,0))</f>
        <v>D</v>
      </c>
      <c r="K480" s="11">
        <f>INDEX(products!$A$2:$G$49,MATCH(orders!$D480,products!$A$2:$A$49,0),MATCH(orders!K$1,products!$A$1:$G$1,0))</f>
        <v>1</v>
      </c>
      <c r="L480" s="12">
        <f>INDEX(products!$A$2:$G$49,MATCH(orders!$D480,products!$A$2:$A$49,0),MATCH(orders!L$1,products!$A$1:$G$1,0))</f>
        <v>8.9499999999999993</v>
      </c>
      <c r="M480" s="12">
        <f t="shared" si="21"/>
        <v>53.699999999999996</v>
      </c>
      <c r="N480" s="10" t="str">
        <f t="shared" si="22"/>
        <v>Robusta</v>
      </c>
      <c r="O480" s="10" t="str">
        <f t="shared" si="23"/>
        <v>Dark</v>
      </c>
      <c r="P480" s="10" t="str">
        <f>_xlfn.XLOOKUP(Tableau1[[#This Row],[Customer ID]],customers!A$2:A$1001,customers!I$2:I$1001)</f>
        <v>Yes</v>
      </c>
    </row>
    <row r="481" spans="1:16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9" t="str">
        <f>_xlfn.XLOOKUP(orders!C481,customers!$A$2:$A$1001,customers!$B$2:$B$1001)</f>
        <v>Ailey Brash</v>
      </c>
      <c r="G481" s="9" t="str">
        <f>IF(_xlfn.XLOOKUP(orders!C481,customers!$A$2:$A$1001,customers!$C$2:$C$1001,,,)=0,"",_xlfn.XLOOKUP(orders!C481,customers!$A$2:$A$1001,customers!$C$2:$C$1001,,,))</f>
        <v>abrashda@plala.or.jp</v>
      </c>
      <c r="H481" s="9" t="str">
        <f>_xlfn.XLOOKUP(C481,customers!$A$2:$A$1001,customers!$G$2:$G$1001,"")</f>
        <v>United States</v>
      </c>
      <c r="I481" s="10" t="str">
        <f>INDEX(products!$A$2:$G$49,MATCH(orders!$D481,products!$A$2:$A$49,0),MATCH(orders!I$1,products!$A$1:$G$1,0))</f>
        <v>Exc</v>
      </c>
      <c r="J481" s="10" t="str">
        <f>INDEX(products!$A$2:$G$49,MATCH(orders!$D481,products!$A$2:$A$49,0),MATCH(orders!J$1,products!$A$1:$G$1,0))</f>
        <v>M</v>
      </c>
      <c r="K481" s="11">
        <f>INDEX(products!$A$2:$G$49,MATCH(orders!$D481,products!$A$2:$A$49,0),MATCH(orders!K$1,products!$A$1:$G$1,0))</f>
        <v>2.5</v>
      </c>
      <c r="L481" s="12">
        <f>INDEX(products!$A$2:$G$49,MATCH(orders!$D481,products!$A$2:$A$49,0),MATCH(orders!L$1,products!$A$1:$G$1,0))</f>
        <v>31.624999999999996</v>
      </c>
      <c r="M481" s="12">
        <f t="shared" si="21"/>
        <v>126.49999999999999</v>
      </c>
      <c r="N481" s="10" t="str">
        <f t="shared" si="22"/>
        <v>Excelsa</v>
      </c>
      <c r="O481" s="10" t="str">
        <f t="shared" si="23"/>
        <v>Medium</v>
      </c>
      <c r="P481" s="10" t="str">
        <f>_xlfn.XLOOKUP(Tableau1[[#This Row],[Customer ID]],customers!A$2:A$1001,customers!I$2:I$1001)</f>
        <v>Yes</v>
      </c>
    </row>
    <row r="482" spans="1:16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9" t="str">
        <f>_xlfn.XLOOKUP(orders!C482,customers!$A$2:$A$1001,customers!$B$2:$B$1001)</f>
        <v>Ailey Brash</v>
      </c>
      <c r="G482" s="9" t="str">
        <f>IF(_xlfn.XLOOKUP(orders!C482,customers!$A$2:$A$1001,customers!$C$2:$C$1001,,,)=0,"",_xlfn.XLOOKUP(orders!C482,customers!$A$2:$A$1001,customers!$C$2:$C$1001,,,))</f>
        <v>abrashda@plala.or.jp</v>
      </c>
      <c r="H482" s="9" t="str">
        <f>_xlfn.XLOOKUP(C482,customers!$A$2:$A$1001,customers!$G$2:$G$1001,"")</f>
        <v>United States</v>
      </c>
      <c r="I482" s="10" t="str">
        <f>INDEX(products!$A$2:$G$49,MATCH(orders!$D482,products!$A$2:$A$49,0),MATCH(orders!I$1,products!$A$1:$G$1,0))</f>
        <v>Exc</v>
      </c>
      <c r="J482" s="10" t="str">
        <f>INDEX(products!$A$2:$G$49,MATCH(orders!$D482,products!$A$2:$A$49,0),MATCH(orders!J$1,products!$A$1:$G$1,0))</f>
        <v>M</v>
      </c>
      <c r="K482" s="11">
        <f>INDEX(products!$A$2:$G$49,MATCH(orders!$D482,products!$A$2:$A$49,0),MATCH(orders!K$1,products!$A$1:$G$1,0))</f>
        <v>0.2</v>
      </c>
      <c r="L482" s="12">
        <f>INDEX(products!$A$2:$G$49,MATCH(orders!$D482,products!$A$2:$A$49,0),MATCH(orders!L$1,products!$A$1:$G$1,0))</f>
        <v>4.125</v>
      </c>
      <c r="M482" s="12">
        <f t="shared" si="21"/>
        <v>4.125</v>
      </c>
      <c r="N482" s="10" t="str">
        <f t="shared" si="22"/>
        <v>Excelsa</v>
      </c>
      <c r="O482" s="10" t="str">
        <f t="shared" si="23"/>
        <v>Medium</v>
      </c>
      <c r="P482" s="10" t="str">
        <f>_xlfn.XLOOKUP(Tableau1[[#This Row],[Customer ID]],customers!A$2:A$1001,customers!I$2:I$1001)</f>
        <v>Yes</v>
      </c>
    </row>
    <row r="483" spans="1:16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9" t="str">
        <f>_xlfn.XLOOKUP(orders!C483,customers!$A$2:$A$1001,customers!$B$2:$B$1001)</f>
        <v>Nanny Izhakov</v>
      </c>
      <c r="G483" s="9" t="str">
        <f>IF(_xlfn.XLOOKUP(orders!C483,customers!$A$2:$A$1001,customers!$C$2:$C$1001,,,)=0,"",_xlfn.XLOOKUP(orders!C483,customers!$A$2:$A$1001,customers!$C$2:$C$1001,,,))</f>
        <v>nizhakovdd@aol.com</v>
      </c>
      <c r="H483" s="9" t="str">
        <f>_xlfn.XLOOKUP(C483,customers!$A$2:$A$1001,customers!$G$2:$G$1001,"")</f>
        <v>United Kingdom</v>
      </c>
      <c r="I483" s="10" t="str">
        <f>INDEX(products!$A$2:$G$49,MATCH(orders!$D483,products!$A$2:$A$49,0),MATCH(orders!I$1,products!$A$1:$G$1,0))</f>
        <v>Rob</v>
      </c>
      <c r="J483" s="10" t="str">
        <f>INDEX(products!$A$2:$G$49,MATCH(orders!$D483,products!$A$2:$A$49,0),MATCH(orders!J$1,products!$A$1:$G$1,0))</f>
        <v>L</v>
      </c>
      <c r="K483" s="11">
        <f>INDEX(products!$A$2:$G$49,MATCH(orders!$D483,products!$A$2:$A$49,0),MATCH(orders!K$1,products!$A$1:$G$1,0))</f>
        <v>1</v>
      </c>
      <c r="L483" s="12">
        <f>INDEX(products!$A$2:$G$49,MATCH(orders!$D483,products!$A$2:$A$49,0),MATCH(orders!L$1,products!$A$1:$G$1,0))</f>
        <v>11.95</v>
      </c>
      <c r="M483" s="12">
        <f t="shared" si="21"/>
        <v>23.9</v>
      </c>
      <c r="N483" s="10" t="str">
        <f t="shared" si="22"/>
        <v>Robusta</v>
      </c>
      <c r="O483" s="10" t="str">
        <f t="shared" si="23"/>
        <v>Light</v>
      </c>
      <c r="P483" s="10" t="str">
        <f>_xlfn.XLOOKUP(Tableau1[[#This Row],[Customer ID]],customers!A$2:A$1001,customers!I$2:I$1001)</f>
        <v>No</v>
      </c>
    </row>
    <row r="484" spans="1:16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9" t="str">
        <f>_xlfn.XLOOKUP(orders!C484,customers!$A$2:$A$1001,customers!$B$2:$B$1001)</f>
        <v>Stanly Keets</v>
      </c>
      <c r="G484" s="9" t="str">
        <f>IF(_xlfn.XLOOKUP(orders!C484,customers!$A$2:$A$1001,customers!$C$2:$C$1001,,,)=0,"",_xlfn.XLOOKUP(orders!C484,customers!$A$2:$A$1001,customers!$C$2:$C$1001,,,))</f>
        <v>skeetsde@answers.com</v>
      </c>
      <c r="H484" s="9" t="str">
        <f>_xlfn.XLOOKUP(C484,customers!$A$2:$A$1001,customers!$G$2:$G$1001,"")</f>
        <v>United States</v>
      </c>
      <c r="I484" s="10" t="str">
        <f>INDEX(products!$A$2:$G$49,MATCH(orders!$D484,products!$A$2:$A$49,0),MATCH(orders!I$1,products!$A$1:$G$1,0))</f>
        <v>Exc</v>
      </c>
      <c r="J484" s="10" t="str">
        <f>INDEX(products!$A$2:$G$49,MATCH(orders!$D484,products!$A$2:$A$49,0),MATCH(orders!J$1,products!$A$1:$G$1,0))</f>
        <v>D</v>
      </c>
      <c r="K484" s="11">
        <f>INDEX(products!$A$2:$G$49,MATCH(orders!$D484,products!$A$2:$A$49,0),MATCH(orders!K$1,products!$A$1:$G$1,0))</f>
        <v>2.5</v>
      </c>
      <c r="L484" s="12">
        <f>INDEX(products!$A$2:$G$49,MATCH(orders!$D484,products!$A$2:$A$49,0),MATCH(orders!L$1,products!$A$1:$G$1,0))</f>
        <v>27.945</v>
      </c>
      <c r="M484" s="12">
        <f t="shared" si="21"/>
        <v>139.72499999999999</v>
      </c>
      <c r="N484" s="10" t="str">
        <f t="shared" si="22"/>
        <v>Excelsa</v>
      </c>
      <c r="O484" s="10" t="str">
        <f t="shared" si="23"/>
        <v>Dark</v>
      </c>
      <c r="P484" s="10" t="str">
        <f>_xlfn.XLOOKUP(Tableau1[[#This Row],[Customer ID]],customers!A$2:A$1001,customers!I$2:I$1001)</f>
        <v>Yes</v>
      </c>
    </row>
    <row r="485" spans="1:16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9" t="str">
        <f>_xlfn.XLOOKUP(orders!C485,customers!$A$2:$A$1001,customers!$B$2:$B$1001)</f>
        <v>Orion Dyott</v>
      </c>
      <c r="G485" s="9" t="str">
        <f>IF(_xlfn.XLOOKUP(orders!C485,customers!$A$2:$A$1001,customers!$C$2:$C$1001,,,)=0,"",_xlfn.XLOOKUP(orders!C485,customers!$A$2:$A$1001,customers!$C$2:$C$1001,,,))</f>
        <v/>
      </c>
      <c r="H485" s="9" t="str">
        <f>_xlfn.XLOOKUP(C485,customers!$A$2:$A$1001,customers!$G$2:$G$1001,"")</f>
        <v>United States</v>
      </c>
      <c r="I485" s="10" t="str">
        <f>INDEX(products!$A$2:$G$49,MATCH(orders!$D485,products!$A$2:$A$49,0),MATCH(orders!I$1,products!$A$1:$G$1,0))</f>
        <v>Lib</v>
      </c>
      <c r="J485" s="10" t="str">
        <f>INDEX(products!$A$2:$G$49,MATCH(orders!$D485,products!$A$2:$A$49,0),MATCH(orders!J$1,products!$A$1:$G$1,0))</f>
        <v>D</v>
      </c>
      <c r="K485" s="11">
        <f>INDEX(products!$A$2:$G$49,MATCH(orders!$D485,products!$A$2:$A$49,0),MATCH(orders!K$1,products!$A$1:$G$1,0))</f>
        <v>2.5</v>
      </c>
      <c r="L485" s="12">
        <f>INDEX(products!$A$2:$G$49,MATCH(orders!$D485,products!$A$2:$A$49,0),MATCH(orders!L$1,products!$A$1:$G$1,0))</f>
        <v>29.784999999999997</v>
      </c>
      <c r="M485" s="12">
        <f t="shared" si="21"/>
        <v>59.569999999999993</v>
      </c>
      <c r="N485" s="10" t="str">
        <f t="shared" si="22"/>
        <v>Liberica</v>
      </c>
      <c r="O485" s="10" t="str">
        <f t="shared" si="23"/>
        <v>Dark</v>
      </c>
      <c r="P485" s="10" t="str">
        <f>_xlfn.XLOOKUP(Tableau1[[#This Row],[Customer ID]],customers!A$2:A$1001,customers!I$2:I$1001)</f>
        <v>Yes</v>
      </c>
    </row>
    <row r="486" spans="1:16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9" t="str">
        <f>_xlfn.XLOOKUP(orders!C486,customers!$A$2:$A$1001,customers!$B$2:$B$1001)</f>
        <v>Keefer Cake</v>
      </c>
      <c r="G486" s="9" t="str">
        <f>IF(_xlfn.XLOOKUP(orders!C486,customers!$A$2:$A$1001,customers!$C$2:$C$1001,,,)=0,"",_xlfn.XLOOKUP(orders!C486,customers!$A$2:$A$1001,customers!$C$2:$C$1001,,,))</f>
        <v>kcakedg@huffingtonpost.com</v>
      </c>
      <c r="H486" s="9" t="str">
        <f>_xlfn.XLOOKUP(C486,customers!$A$2:$A$1001,customers!$G$2:$G$1001,"")</f>
        <v>United States</v>
      </c>
      <c r="I486" s="10" t="str">
        <f>INDEX(products!$A$2:$G$49,MATCH(orders!$D486,products!$A$2:$A$49,0),MATCH(orders!I$1,products!$A$1:$G$1,0))</f>
        <v>Lib</v>
      </c>
      <c r="J486" s="10" t="str">
        <f>INDEX(products!$A$2:$G$49,MATCH(orders!$D486,products!$A$2:$A$49,0),MATCH(orders!J$1,products!$A$1:$G$1,0))</f>
        <v>L</v>
      </c>
      <c r="K486" s="11">
        <f>INDEX(products!$A$2:$G$49,MATCH(orders!$D486,products!$A$2:$A$49,0),MATCH(orders!K$1,products!$A$1:$G$1,0))</f>
        <v>0.5</v>
      </c>
      <c r="L486" s="12">
        <f>INDEX(products!$A$2:$G$49,MATCH(orders!$D486,products!$A$2:$A$49,0),MATCH(orders!L$1,products!$A$1:$G$1,0))</f>
        <v>9.51</v>
      </c>
      <c r="M486" s="12">
        <f t="shared" si="21"/>
        <v>57.06</v>
      </c>
      <c r="N486" s="10" t="str">
        <f t="shared" si="22"/>
        <v>Liberica</v>
      </c>
      <c r="O486" s="10" t="str">
        <f t="shared" si="23"/>
        <v>Light</v>
      </c>
      <c r="P486" s="10" t="str">
        <f>_xlfn.XLOOKUP(Tableau1[[#This Row],[Customer ID]],customers!A$2:A$1001,customers!I$2:I$1001)</f>
        <v>No</v>
      </c>
    </row>
    <row r="487" spans="1:16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9" t="str">
        <f>_xlfn.XLOOKUP(orders!C487,customers!$A$2:$A$1001,customers!$B$2:$B$1001)</f>
        <v>Morna Hansed</v>
      </c>
      <c r="G487" s="9" t="str">
        <f>IF(_xlfn.XLOOKUP(orders!C487,customers!$A$2:$A$1001,customers!$C$2:$C$1001,,,)=0,"",_xlfn.XLOOKUP(orders!C487,customers!$A$2:$A$1001,customers!$C$2:$C$1001,,,))</f>
        <v>mhanseddh@instagram.com</v>
      </c>
      <c r="H487" s="9" t="str">
        <f>_xlfn.XLOOKUP(C487,customers!$A$2:$A$1001,customers!$G$2:$G$1001,"")</f>
        <v>Ireland</v>
      </c>
      <c r="I487" s="10" t="str">
        <f>INDEX(products!$A$2:$G$49,MATCH(orders!$D487,products!$A$2:$A$49,0),MATCH(orders!I$1,products!$A$1:$G$1,0))</f>
        <v>Rob</v>
      </c>
      <c r="J487" s="10" t="str">
        <f>INDEX(products!$A$2:$G$49,MATCH(orders!$D487,products!$A$2:$A$49,0),MATCH(orders!J$1,products!$A$1:$G$1,0))</f>
        <v>L</v>
      </c>
      <c r="K487" s="11">
        <f>INDEX(products!$A$2:$G$49,MATCH(orders!$D487,products!$A$2:$A$49,0),MATCH(orders!K$1,products!$A$1:$G$1,0))</f>
        <v>0.2</v>
      </c>
      <c r="L487" s="12">
        <f>INDEX(products!$A$2:$G$49,MATCH(orders!$D487,products!$A$2:$A$49,0),MATCH(orders!L$1,products!$A$1:$G$1,0))</f>
        <v>3.5849999999999995</v>
      </c>
      <c r="M487" s="12">
        <f t="shared" si="21"/>
        <v>21.509999999999998</v>
      </c>
      <c r="N487" s="10" t="str">
        <f t="shared" si="22"/>
        <v>Robusta</v>
      </c>
      <c r="O487" s="10" t="str">
        <f t="shared" si="23"/>
        <v>Light</v>
      </c>
      <c r="P487" s="10" t="str">
        <f>_xlfn.XLOOKUP(Tableau1[[#This Row],[Customer ID]],customers!A$2:A$1001,customers!I$2:I$1001)</f>
        <v>Yes</v>
      </c>
    </row>
    <row r="488" spans="1:16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9" t="str">
        <f>_xlfn.XLOOKUP(orders!C488,customers!$A$2:$A$1001,customers!$B$2:$B$1001)</f>
        <v>Franny Kienlein</v>
      </c>
      <c r="G488" s="9" t="str">
        <f>IF(_xlfn.XLOOKUP(orders!C488,customers!$A$2:$A$1001,customers!$C$2:$C$1001,,,)=0,"",_xlfn.XLOOKUP(orders!C488,customers!$A$2:$A$1001,customers!$C$2:$C$1001,,,))</f>
        <v>fkienleindi@trellian.com</v>
      </c>
      <c r="H488" s="9" t="str">
        <f>_xlfn.XLOOKUP(C488,customers!$A$2:$A$1001,customers!$G$2:$G$1001,"")</f>
        <v>Ireland</v>
      </c>
      <c r="I488" s="10" t="str">
        <f>INDEX(products!$A$2:$G$49,MATCH(orders!$D488,products!$A$2:$A$49,0),MATCH(orders!I$1,products!$A$1:$G$1,0))</f>
        <v>Lib</v>
      </c>
      <c r="J488" s="10" t="str">
        <f>INDEX(products!$A$2:$G$49,MATCH(orders!$D488,products!$A$2:$A$49,0),MATCH(orders!J$1,products!$A$1:$G$1,0))</f>
        <v>M</v>
      </c>
      <c r="K488" s="11">
        <f>INDEX(products!$A$2:$G$49,MATCH(orders!$D488,products!$A$2:$A$49,0),MATCH(orders!K$1,products!$A$1:$G$1,0))</f>
        <v>0.5</v>
      </c>
      <c r="L488" s="12">
        <f>INDEX(products!$A$2:$G$49,MATCH(orders!$D488,products!$A$2:$A$49,0),MATCH(orders!L$1,products!$A$1:$G$1,0))</f>
        <v>8.73</v>
      </c>
      <c r="M488" s="12">
        <f t="shared" si="21"/>
        <v>52.38</v>
      </c>
      <c r="N488" s="10" t="str">
        <f t="shared" si="22"/>
        <v>Liberica</v>
      </c>
      <c r="O488" s="10" t="str">
        <f t="shared" si="23"/>
        <v>Medium</v>
      </c>
      <c r="P488" s="10" t="str">
        <f>_xlfn.XLOOKUP(Tableau1[[#This Row],[Customer ID]],customers!A$2:A$1001,customers!I$2:I$1001)</f>
        <v>Yes</v>
      </c>
    </row>
    <row r="489" spans="1:16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9" t="str">
        <f>_xlfn.XLOOKUP(orders!C489,customers!$A$2:$A$1001,customers!$B$2:$B$1001)</f>
        <v>Klarika Egglestone</v>
      </c>
      <c r="G489" s="9" t="str">
        <f>IF(_xlfn.XLOOKUP(orders!C489,customers!$A$2:$A$1001,customers!$C$2:$C$1001,,,)=0,"",_xlfn.XLOOKUP(orders!C489,customers!$A$2:$A$1001,customers!$C$2:$C$1001,,,))</f>
        <v>kegglestonedj@sphinn.com</v>
      </c>
      <c r="H489" s="9" t="str">
        <f>_xlfn.XLOOKUP(C489,customers!$A$2:$A$1001,customers!$G$2:$G$1001,"")</f>
        <v>Ireland</v>
      </c>
      <c r="I489" s="10" t="str">
        <f>INDEX(products!$A$2:$G$49,MATCH(orders!$D489,products!$A$2:$A$49,0),MATCH(orders!I$1,products!$A$1:$G$1,0))</f>
        <v>Exc</v>
      </c>
      <c r="J489" s="10" t="str">
        <f>INDEX(products!$A$2:$G$49,MATCH(orders!$D489,products!$A$2:$A$49,0),MATCH(orders!J$1,products!$A$1:$G$1,0))</f>
        <v>D</v>
      </c>
      <c r="K489" s="11">
        <f>INDEX(products!$A$2:$G$49,MATCH(orders!$D489,products!$A$2:$A$49,0),MATCH(orders!K$1,products!$A$1:$G$1,0))</f>
        <v>1</v>
      </c>
      <c r="L489" s="12">
        <f>INDEX(products!$A$2:$G$49,MATCH(orders!$D489,products!$A$2:$A$49,0),MATCH(orders!L$1,products!$A$1:$G$1,0))</f>
        <v>12.15</v>
      </c>
      <c r="M489" s="12">
        <f t="shared" si="21"/>
        <v>72.900000000000006</v>
      </c>
      <c r="N489" s="10" t="str">
        <f t="shared" si="22"/>
        <v>Excelsa</v>
      </c>
      <c r="O489" s="10" t="str">
        <f t="shared" si="23"/>
        <v>Dark</v>
      </c>
      <c r="P489" s="10" t="str">
        <f>_xlfn.XLOOKUP(Tableau1[[#This Row],[Customer ID]],customers!A$2:A$1001,customers!I$2:I$1001)</f>
        <v>No</v>
      </c>
    </row>
    <row r="490" spans="1:16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9" t="str">
        <f>_xlfn.XLOOKUP(orders!C490,customers!$A$2:$A$1001,customers!$B$2:$B$1001)</f>
        <v>Becky Semkins</v>
      </c>
      <c r="G490" s="9" t="str">
        <f>IF(_xlfn.XLOOKUP(orders!C490,customers!$A$2:$A$1001,customers!$C$2:$C$1001,,,)=0,"",_xlfn.XLOOKUP(orders!C490,customers!$A$2:$A$1001,customers!$C$2:$C$1001,,,))</f>
        <v>bsemkinsdk@unc.edu</v>
      </c>
      <c r="H490" s="9" t="str">
        <f>_xlfn.XLOOKUP(C490,customers!$A$2:$A$1001,customers!$G$2:$G$1001,"")</f>
        <v>Ireland</v>
      </c>
      <c r="I490" s="10" t="str">
        <f>INDEX(products!$A$2:$G$49,MATCH(orders!$D490,products!$A$2:$A$49,0),MATCH(orders!I$1,products!$A$1:$G$1,0))</f>
        <v>Rob</v>
      </c>
      <c r="J490" s="10" t="str">
        <f>INDEX(products!$A$2:$G$49,MATCH(orders!$D490,products!$A$2:$A$49,0),MATCH(orders!J$1,products!$A$1:$G$1,0))</f>
        <v>M</v>
      </c>
      <c r="K490" s="11">
        <f>INDEX(products!$A$2:$G$49,MATCH(orders!$D490,products!$A$2:$A$49,0),MATCH(orders!K$1,products!$A$1:$G$1,0))</f>
        <v>0.2</v>
      </c>
      <c r="L490" s="12">
        <f>INDEX(products!$A$2:$G$49,MATCH(orders!$D490,products!$A$2:$A$49,0),MATCH(orders!L$1,products!$A$1:$G$1,0))</f>
        <v>2.9849999999999999</v>
      </c>
      <c r="M490" s="12">
        <f t="shared" si="21"/>
        <v>14.924999999999999</v>
      </c>
      <c r="N490" s="10" t="str">
        <f t="shared" si="22"/>
        <v>Robusta</v>
      </c>
      <c r="O490" s="10" t="str">
        <f t="shared" si="23"/>
        <v>Medium</v>
      </c>
      <c r="P490" s="10" t="str">
        <f>_xlfn.XLOOKUP(Tableau1[[#This Row],[Customer ID]],customers!A$2:A$1001,customers!I$2:I$1001)</f>
        <v>Yes</v>
      </c>
    </row>
    <row r="491" spans="1:16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9" t="str">
        <f>_xlfn.XLOOKUP(orders!C491,customers!$A$2:$A$1001,customers!$B$2:$B$1001)</f>
        <v>Sean Lorenzetti</v>
      </c>
      <c r="G491" s="9" t="str">
        <f>IF(_xlfn.XLOOKUP(orders!C491,customers!$A$2:$A$1001,customers!$C$2:$C$1001,,,)=0,"",_xlfn.XLOOKUP(orders!C491,customers!$A$2:$A$1001,customers!$C$2:$C$1001,,,))</f>
        <v>slorenzettidl@is.gd</v>
      </c>
      <c r="H491" s="9" t="str">
        <f>_xlfn.XLOOKUP(C491,customers!$A$2:$A$1001,customers!$G$2:$G$1001,"")</f>
        <v>United States</v>
      </c>
      <c r="I491" s="10" t="str">
        <f>INDEX(products!$A$2:$G$49,MATCH(orders!$D491,products!$A$2:$A$49,0),MATCH(orders!I$1,products!$A$1:$G$1,0))</f>
        <v>Lib</v>
      </c>
      <c r="J491" s="10" t="str">
        <f>INDEX(products!$A$2:$G$49,MATCH(orders!$D491,products!$A$2:$A$49,0),MATCH(orders!J$1,products!$A$1:$G$1,0))</f>
        <v>L</v>
      </c>
      <c r="K491" s="11">
        <f>INDEX(products!$A$2:$G$49,MATCH(orders!$D491,products!$A$2:$A$49,0),MATCH(orders!K$1,products!$A$1:$G$1,0))</f>
        <v>1</v>
      </c>
      <c r="L491" s="12">
        <f>INDEX(products!$A$2:$G$49,MATCH(orders!$D491,products!$A$2:$A$49,0),MATCH(orders!L$1,products!$A$1:$G$1,0))</f>
        <v>15.85</v>
      </c>
      <c r="M491" s="12">
        <f t="shared" si="21"/>
        <v>95.1</v>
      </c>
      <c r="N491" s="10" t="str">
        <f t="shared" si="22"/>
        <v>Liberica</v>
      </c>
      <c r="O491" s="10" t="str">
        <f t="shared" si="23"/>
        <v>Light</v>
      </c>
      <c r="P491" s="10" t="str">
        <f>_xlfn.XLOOKUP(Tableau1[[#This Row],[Customer ID]],customers!A$2:A$1001,customers!I$2:I$1001)</f>
        <v>No</v>
      </c>
    </row>
    <row r="492" spans="1:16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9" t="str">
        <f>_xlfn.XLOOKUP(orders!C492,customers!$A$2:$A$1001,customers!$B$2:$B$1001)</f>
        <v>Bob Giannazzi</v>
      </c>
      <c r="G492" s="9" t="str">
        <f>IF(_xlfn.XLOOKUP(orders!C492,customers!$A$2:$A$1001,customers!$C$2:$C$1001,,,)=0,"",_xlfn.XLOOKUP(orders!C492,customers!$A$2:$A$1001,customers!$C$2:$C$1001,,,))</f>
        <v>bgiannazzidm@apple.com</v>
      </c>
      <c r="H492" s="9" t="str">
        <f>_xlfn.XLOOKUP(C492,customers!$A$2:$A$1001,customers!$G$2:$G$1001,"")</f>
        <v>United States</v>
      </c>
      <c r="I492" s="10" t="str">
        <f>INDEX(products!$A$2:$G$49,MATCH(orders!$D492,products!$A$2:$A$49,0),MATCH(orders!I$1,products!$A$1:$G$1,0))</f>
        <v>Lib</v>
      </c>
      <c r="J492" s="10" t="str">
        <f>INDEX(products!$A$2:$G$49,MATCH(orders!$D492,products!$A$2:$A$49,0),MATCH(orders!J$1,products!$A$1:$G$1,0))</f>
        <v>D</v>
      </c>
      <c r="K492" s="11">
        <f>INDEX(products!$A$2:$G$49,MATCH(orders!$D492,products!$A$2:$A$49,0),MATCH(orders!K$1,products!$A$1:$G$1,0))</f>
        <v>0.5</v>
      </c>
      <c r="L492" s="12">
        <f>INDEX(products!$A$2:$G$49,MATCH(orders!$D492,products!$A$2:$A$49,0),MATCH(orders!L$1,products!$A$1:$G$1,0))</f>
        <v>7.77</v>
      </c>
      <c r="M492" s="12">
        <f t="shared" si="21"/>
        <v>15.54</v>
      </c>
      <c r="N492" s="10" t="str">
        <f t="shared" si="22"/>
        <v>Liberica</v>
      </c>
      <c r="O492" s="10" t="str">
        <f t="shared" si="23"/>
        <v>Dark</v>
      </c>
      <c r="P492" s="10" t="str">
        <f>_xlfn.XLOOKUP(Tableau1[[#This Row],[Customer ID]],customers!A$2:A$1001,customers!I$2:I$1001)</f>
        <v>No</v>
      </c>
    </row>
    <row r="493" spans="1:16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9" t="str">
        <f>_xlfn.XLOOKUP(orders!C493,customers!$A$2:$A$1001,customers!$B$2:$B$1001)</f>
        <v>Kendra Backshell</v>
      </c>
      <c r="G493" s="9" t="str">
        <f>IF(_xlfn.XLOOKUP(orders!C493,customers!$A$2:$A$1001,customers!$C$2:$C$1001,,,)=0,"",_xlfn.XLOOKUP(orders!C493,customers!$A$2:$A$1001,customers!$C$2:$C$1001,,,))</f>
        <v/>
      </c>
      <c r="H493" s="9" t="str">
        <f>_xlfn.XLOOKUP(C493,customers!$A$2:$A$1001,customers!$G$2:$G$1001,"")</f>
        <v>United States</v>
      </c>
      <c r="I493" s="10" t="str">
        <f>INDEX(products!$A$2:$G$49,MATCH(orders!$D493,products!$A$2:$A$49,0),MATCH(orders!I$1,products!$A$1:$G$1,0))</f>
        <v>Lib</v>
      </c>
      <c r="J493" s="10" t="str">
        <f>INDEX(products!$A$2:$G$49,MATCH(orders!$D493,products!$A$2:$A$49,0),MATCH(orders!J$1,products!$A$1:$G$1,0))</f>
        <v>D</v>
      </c>
      <c r="K493" s="11">
        <f>INDEX(products!$A$2:$G$49,MATCH(orders!$D493,products!$A$2:$A$49,0),MATCH(orders!K$1,products!$A$1:$G$1,0))</f>
        <v>0.2</v>
      </c>
      <c r="L493" s="12">
        <f>INDEX(products!$A$2:$G$49,MATCH(orders!$D493,products!$A$2:$A$49,0),MATCH(orders!L$1,products!$A$1:$G$1,0))</f>
        <v>3.8849999999999998</v>
      </c>
      <c r="M493" s="12">
        <f t="shared" si="21"/>
        <v>23.31</v>
      </c>
      <c r="N493" s="10" t="str">
        <f t="shared" si="22"/>
        <v>Liberica</v>
      </c>
      <c r="O493" s="10" t="str">
        <f t="shared" si="23"/>
        <v>Dark</v>
      </c>
      <c r="P493" s="10" t="str">
        <f>_xlfn.XLOOKUP(Tableau1[[#This Row],[Customer ID]],customers!A$2:A$1001,customers!I$2:I$1001)</f>
        <v>No</v>
      </c>
    </row>
    <row r="494" spans="1:16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9" t="str">
        <f>_xlfn.XLOOKUP(orders!C494,customers!$A$2:$A$1001,customers!$B$2:$B$1001)</f>
        <v>Uriah Lethbrig</v>
      </c>
      <c r="G494" s="9" t="str">
        <f>IF(_xlfn.XLOOKUP(orders!C494,customers!$A$2:$A$1001,customers!$C$2:$C$1001,,,)=0,"",_xlfn.XLOOKUP(orders!C494,customers!$A$2:$A$1001,customers!$C$2:$C$1001,,,))</f>
        <v>ulethbrigdo@hc360.com</v>
      </c>
      <c r="H494" s="9" t="str">
        <f>_xlfn.XLOOKUP(C494,customers!$A$2:$A$1001,customers!$G$2:$G$1001,"")</f>
        <v>United States</v>
      </c>
      <c r="I494" s="10" t="str">
        <f>INDEX(products!$A$2:$G$49,MATCH(orders!$D494,products!$A$2:$A$49,0),MATCH(orders!I$1,products!$A$1:$G$1,0))</f>
        <v>Exc</v>
      </c>
      <c r="J494" s="10" t="str">
        <f>INDEX(products!$A$2:$G$49,MATCH(orders!$D494,products!$A$2:$A$49,0),MATCH(orders!J$1,products!$A$1:$G$1,0))</f>
        <v>M</v>
      </c>
      <c r="K494" s="11">
        <f>INDEX(products!$A$2:$G$49,MATCH(orders!$D494,products!$A$2:$A$49,0),MATCH(orders!K$1,products!$A$1:$G$1,0))</f>
        <v>0.2</v>
      </c>
      <c r="L494" s="12">
        <f>INDEX(products!$A$2:$G$49,MATCH(orders!$D494,products!$A$2:$A$49,0),MATCH(orders!L$1,products!$A$1:$G$1,0))</f>
        <v>4.125</v>
      </c>
      <c r="M494" s="12">
        <f t="shared" si="21"/>
        <v>4.125</v>
      </c>
      <c r="N494" s="10" t="str">
        <f t="shared" si="22"/>
        <v>Excelsa</v>
      </c>
      <c r="O494" s="10" t="str">
        <f t="shared" si="23"/>
        <v>Medium</v>
      </c>
      <c r="P494" s="10" t="str">
        <f>_xlfn.XLOOKUP(Tableau1[[#This Row],[Customer ID]],customers!A$2:A$1001,customers!I$2:I$1001)</f>
        <v>Yes</v>
      </c>
    </row>
    <row r="495" spans="1:16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9" t="str">
        <f>_xlfn.XLOOKUP(orders!C495,customers!$A$2:$A$1001,customers!$B$2:$B$1001)</f>
        <v>Sky Farnish</v>
      </c>
      <c r="G495" s="9" t="str">
        <f>IF(_xlfn.XLOOKUP(orders!C495,customers!$A$2:$A$1001,customers!$C$2:$C$1001,,,)=0,"",_xlfn.XLOOKUP(orders!C495,customers!$A$2:$A$1001,customers!$C$2:$C$1001,,,))</f>
        <v>sfarnishdp@dmoz.org</v>
      </c>
      <c r="H495" s="9" t="str">
        <f>_xlfn.XLOOKUP(C495,customers!$A$2:$A$1001,customers!$G$2:$G$1001,"")</f>
        <v>United Kingdom</v>
      </c>
      <c r="I495" s="10" t="str">
        <f>INDEX(products!$A$2:$G$49,MATCH(orders!$D495,products!$A$2:$A$49,0),MATCH(orders!I$1,products!$A$1:$G$1,0))</f>
        <v>Rob</v>
      </c>
      <c r="J495" s="10" t="str">
        <f>INDEX(products!$A$2:$G$49,MATCH(orders!$D495,products!$A$2:$A$49,0),MATCH(orders!J$1,products!$A$1:$G$1,0))</f>
        <v>M</v>
      </c>
      <c r="K495" s="11">
        <f>INDEX(products!$A$2:$G$49,MATCH(orders!$D495,products!$A$2:$A$49,0),MATCH(orders!K$1,products!$A$1:$G$1,0))</f>
        <v>0.5</v>
      </c>
      <c r="L495" s="12">
        <f>INDEX(products!$A$2:$G$49,MATCH(orders!$D495,products!$A$2:$A$49,0),MATCH(orders!L$1,products!$A$1:$G$1,0))</f>
        <v>5.97</v>
      </c>
      <c r="M495" s="12">
        <f t="shared" si="21"/>
        <v>35.82</v>
      </c>
      <c r="N495" s="10" t="str">
        <f t="shared" si="22"/>
        <v>Robusta</v>
      </c>
      <c r="O495" s="10" t="str">
        <f t="shared" si="23"/>
        <v>Medium</v>
      </c>
      <c r="P495" s="10" t="str">
        <f>_xlfn.XLOOKUP(Tableau1[[#This Row],[Customer ID]],customers!A$2:A$1001,customers!I$2:I$1001)</f>
        <v>No</v>
      </c>
    </row>
    <row r="496" spans="1:16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9" t="str">
        <f>_xlfn.XLOOKUP(orders!C496,customers!$A$2:$A$1001,customers!$B$2:$B$1001)</f>
        <v>Felicia Jecock</v>
      </c>
      <c r="G496" s="9" t="str">
        <f>IF(_xlfn.XLOOKUP(orders!C496,customers!$A$2:$A$1001,customers!$C$2:$C$1001,,,)=0,"",_xlfn.XLOOKUP(orders!C496,customers!$A$2:$A$1001,customers!$C$2:$C$1001,,,))</f>
        <v>fjecockdq@unicef.org</v>
      </c>
      <c r="H496" s="9" t="str">
        <f>_xlfn.XLOOKUP(C496,customers!$A$2:$A$1001,customers!$G$2:$G$1001,"")</f>
        <v>United States</v>
      </c>
      <c r="I496" s="10" t="str">
        <f>INDEX(products!$A$2:$G$49,MATCH(orders!$D496,products!$A$2:$A$49,0),MATCH(orders!I$1,products!$A$1:$G$1,0))</f>
        <v>Lib</v>
      </c>
      <c r="J496" s="10" t="str">
        <f>INDEX(products!$A$2:$G$49,MATCH(orders!$D496,products!$A$2:$A$49,0),MATCH(orders!J$1,products!$A$1:$G$1,0))</f>
        <v>L</v>
      </c>
      <c r="K496" s="11">
        <f>INDEX(products!$A$2:$G$49,MATCH(orders!$D496,products!$A$2:$A$49,0),MATCH(orders!K$1,products!$A$1:$G$1,0))</f>
        <v>1</v>
      </c>
      <c r="L496" s="12">
        <f>INDEX(products!$A$2:$G$49,MATCH(orders!$D496,products!$A$2:$A$49,0),MATCH(orders!L$1,products!$A$1:$G$1,0))</f>
        <v>15.85</v>
      </c>
      <c r="M496" s="12">
        <f t="shared" si="21"/>
        <v>31.7</v>
      </c>
      <c r="N496" s="10" t="str">
        <f t="shared" si="22"/>
        <v>Liberica</v>
      </c>
      <c r="O496" s="10" t="str">
        <f t="shared" si="23"/>
        <v>Light</v>
      </c>
      <c r="P496" s="10" t="str">
        <f>_xlfn.XLOOKUP(Tableau1[[#This Row],[Customer ID]],customers!A$2:A$1001,customers!I$2:I$1001)</f>
        <v>No</v>
      </c>
    </row>
    <row r="497" spans="1:16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9" t="str">
        <f>_xlfn.XLOOKUP(orders!C497,customers!$A$2:$A$1001,customers!$B$2:$B$1001)</f>
        <v>Currey MacAllister</v>
      </c>
      <c r="G497" s="9" t="str">
        <f>IF(_xlfn.XLOOKUP(orders!C497,customers!$A$2:$A$1001,customers!$C$2:$C$1001,,,)=0,"",_xlfn.XLOOKUP(orders!C497,customers!$A$2:$A$1001,customers!$C$2:$C$1001,,,))</f>
        <v/>
      </c>
      <c r="H497" s="9" t="str">
        <f>_xlfn.XLOOKUP(C497,customers!$A$2:$A$1001,customers!$G$2:$G$1001,"")</f>
        <v>United States</v>
      </c>
      <c r="I497" s="10" t="str">
        <f>INDEX(products!$A$2:$G$49,MATCH(orders!$D497,products!$A$2:$A$49,0),MATCH(orders!I$1,products!$A$1:$G$1,0))</f>
        <v>Lib</v>
      </c>
      <c r="J497" s="10" t="str">
        <f>INDEX(products!$A$2:$G$49,MATCH(orders!$D497,products!$A$2:$A$49,0),MATCH(orders!J$1,products!$A$1:$G$1,0))</f>
        <v>L</v>
      </c>
      <c r="K497" s="11">
        <f>INDEX(products!$A$2:$G$49,MATCH(orders!$D497,products!$A$2:$A$49,0),MATCH(orders!K$1,products!$A$1:$G$1,0))</f>
        <v>1</v>
      </c>
      <c r="L497" s="12">
        <f>INDEX(products!$A$2:$G$49,MATCH(orders!$D497,products!$A$2:$A$49,0),MATCH(orders!L$1,products!$A$1:$G$1,0))</f>
        <v>15.85</v>
      </c>
      <c r="M497" s="12">
        <f t="shared" si="21"/>
        <v>79.25</v>
      </c>
      <c r="N497" s="10" t="str">
        <f t="shared" si="22"/>
        <v>Liberica</v>
      </c>
      <c r="O497" s="10" t="str">
        <f t="shared" si="23"/>
        <v>Light</v>
      </c>
      <c r="P497" s="10" t="str">
        <f>_xlfn.XLOOKUP(Tableau1[[#This Row],[Customer ID]],customers!A$2:A$1001,customers!I$2:I$1001)</f>
        <v>Yes</v>
      </c>
    </row>
    <row r="498" spans="1:16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9" t="str">
        <f>_xlfn.XLOOKUP(orders!C498,customers!$A$2:$A$1001,customers!$B$2:$B$1001)</f>
        <v>Hamlen Pallister</v>
      </c>
      <c r="G498" s="9" t="str">
        <f>IF(_xlfn.XLOOKUP(orders!C498,customers!$A$2:$A$1001,customers!$C$2:$C$1001,,,)=0,"",_xlfn.XLOOKUP(orders!C498,customers!$A$2:$A$1001,customers!$C$2:$C$1001,,,))</f>
        <v>hpallisterds@ning.com</v>
      </c>
      <c r="H498" s="9" t="str">
        <f>_xlfn.XLOOKUP(C498,customers!$A$2:$A$1001,customers!$G$2:$G$1001,"")</f>
        <v>United States</v>
      </c>
      <c r="I498" s="10" t="str">
        <f>INDEX(products!$A$2:$G$49,MATCH(orders!$D498,products!$A$2:$A$49,0),MATCH(orders!I$1,products!$A$1:$G$1,0))</f>
        <v>Exc</v>
      </c>
      <c r="J498" s="10" t="str">
        <f>INDEX(products!$A$2:$G$49,MATCH(orders!$D498,products!$A$2:$A$49,0),MATCH(orders!J$1,products!$A$1:$G$1,0))</f>
        <v>D</v>
      </c>
      <c r="K498" s="11">
        <f>INDEX(products!$A$2:$G$49,MATCH(orders!$D498,products!$A$2:$A$49,0),MATCH(orders!K$1,products!$A$1:$G$1,0))</f>
        <v>0.2</v>
      </c>
      <c r="L498" s="12">
        <f>INDEX(products!$A$2:$G$49,MATCH(orders!$D498,products!$A$2:$A$49,0),MATCH(orders!L$1,products!$A$1:$G$1,0))</f>
        <v>3.645</v>
      </c>
      <c r="M498" s="12">
        <f t="shared" si="21"/>
        <v>10.935</v>
      </c>
      <c r="N498" s="10" t="str">
        <f t="shared" si="22"/>
        <v>Excelsa</v>
      </c>
      <c r="O498" s="10" t="str">
        <f t="shared" si="23"/>
        <v>Dark</v>
      </c>
      <c r="P498" s="10" t="str">
        <f>_xlfn.XLOOKUP(Tableau1[[#This Row],[Customer ID]],customers!A$2:A$1001,customers!I$2:I$1001)</f>
        <v>No</v>
      </c>
    </row>
    <row r="499" spans="1:16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9" t="str">
        <f>_xlfn.XLOOKUP(orders!C499,customers!$A$2:$A$1001,customers!$B$2:$B$1001)</f>
        <v>Chantal Mersh</v>
      </c>
      <c r="G499" s="9" t="str">
        <f>IF(_xlfn.XLOOKUP(orders!C499,customers!$A$2:$A$1001,customers!$C$2:$C$1001,,,)=0,"",_xlfn.XLOOKUP(orders!C499,customers!$A$2:$A$1001,customers!$C$2:$C$1001,,,))</f>
        <v>cmershdt@drupal.org</v>
      </c>
      <c r="H499" s="9" t="str">
        <f>_xlfn.XLOOKUP(C499,customers!$A$2:$A$1001,customers!$G$2:$G$1001,"")</f>
        <v>Ireland</v>
      </c>
      <c r="I499" s="10" t="str">
        <f>INDEX(products!$A$2:$G$49,MATCH(orders!$D499,products!$A$2:$A$49,0),MATCH(orders!I$1,products!$A$1:$G$1,0))</f>
        <v>Ara</v>
      </c>
      <c r="J499" s="10" t="str">
        <f>INDEX(products!$A$2:$G$49,MATCH(orders!$D499,products!$A$2:$A$49,0),MATCH(orders!J$1,products!$A$1:$G$1,0))</f>
        <v>D</v>
      </c>
      <c r="K499" s="11">
        <f>INDEX(products!$A$2:$G$49,MATCH(orders!$D499,products!$A$2:$A$49,0),MATCH(orders!K$1,products!$A$1:$G$1,0))</f>
        <v>1</v>
      </c>
      <c r="L499" s="12">
        <f>INDEX(products!$A$2:$G$49,MATCH(orders!$D499,products!$A$2:$A$49,0),MATCH(orders!L$1,products!$A$1:$G$1,0))</f>
        <v>9.9499999999999993</v>
      </c>
      <c r="M499" s="12">
        <f t="shared" si="21"/>
        <v>39.799999999999997</v>
      </c>
      <c r="N499" s="10" t="str">
        <f t="shared" si="22"/>
        <v>Arabica</v>
      </c>
      <c r="O499" s="10" t="str">
        <f t="shared" si="23"/>
        <v>Dark</v>
      </c>
      <c r="P499" s="10" t="str">
        <f>_xlfn.XLOOKUP(Tableau1[[#This Row],[Customer ID]],customers!A$2:A$1001,customers!I$2:I$1001)</f>
        <v>No</v>
      </c>
    </row>
    <row r="500" spans="1:16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9" t="str">
        <f>_xlfn.XLOOKUP(orders!C500,customers!$A$2:$A$1001,customers!$B$2:$B$1001)</f>
        <v>Marja Urion</v>
      </c>
      <c r="G500" s="9" t="str">
        <f>IF(_xlfn.XLOOKUP(orders!C500,customers!$A$2:$A$1001,customers!$C$2:$C$1001,,,)=0,"",_xlfn.XLOOKUP(orders!C500,customers!$A$2:$A$1001,customers!$C$2:$C$1001,,,))</f>
        <v>murione5@alexa.com</v>
      </c>
      <c r="H500" s="9" t="str">
        <f>_xlfn.XLOOKUP(C500,customers!$A$2:$A$1001,customers!$G$2:$G$1001,"")</f>
        <v>Ireland</v>
      </c>
      <c r="I500" s="10" t="str">
        <f>INDEX(products!$A$2:$G$49,MATCH(orders!$D500,products!$A$2:$A$49,0),MATCH(orders!I$1,products!$A$1:$G$1,0))</f>
        <v>Rob</v>
      </c>
      <c r="J500" s="10" t="str">
        <f>INDEX(products!$A$2:$G$49,MATCH(orders!$D500,products!$A$2:$A$49,0),MATCH(orders!J$1,products!$A$1:$G$1,0))</f>
        <v>M</v>
      </c>
      <c r="K500" s="11">
        <f>INDEX(products!$A$2:$G$49,MATCH(orders!$D500,products!$A$2:$A$49,0),MATCH(orders!K$1,products!$A$1:$G$1,0))</f>
        <v>1</v>
      </c>
      <c r="L500" s="12">
        <f>INDEX(products!$A$2:$G$49,MATCH(orders!$D500,products!$A$2:$A$49,0),MATCH(orders!L$1,products!$A$1:$G$1,0))</f>
        <v>9.9499999999999993</v>
      </c>
      <c r="M500" s="12">
        <f t="shared" si="21"/>
        <v>49.75</v>
      </c>
      <c r="N500" s="10" t="str">
        <f t="shared" si="22"/>
        <v>Robusta</v>
      </c>
      <c r="O500" s="10" t="str">
        <f t="shared" si="23"/>
        <v>Medium</v>
      </c>
      <c r="P500" s="10" t="str">
        <f>_xlfn.XLOOKUP(Tableau1[[#This Row],[Customer ID]],customers!A$2:A$1001,customers!I$2:I$1001)</f>
        <v>Yes</v>
      </c>
    </row>
    <row r="501" spans="1:16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9" t="str">
        <f>_xlfn.XLOOKUP(orders!C501,customers!$A$2:$A$1001,customers!$B$2:$B$1001)</f>
        <v>Malynda Purbrick</v>
      </c>
      <c r="G501" s="9" t="str">
        <f>IF(_xlfn.XLOOKUP(orders!C501,customers!$A$2:$A$1001,customers!$C$2:$C$1001,,,)=0,"",_xlfn.XLOOKUP(orders!C501,customers!$A$2:$A$1001,customers!$C$2:$C$1001,,,))</f>
        <v/>
      </c>
      <c r="H501" s="9" t="str">
        <f>_xlfn.XLOOKUP(C501,customers!$A$2:$A$1001,customers!$G$2:$G$1001,"")</f>
        <v>Ireland</v>
      </c>
      <c r="I501" s="10" t="str">
        <f>INDEX(products!$A$2:$G$49,MATCH(orders!$D501,products!$A$2:$A$49,0),MATCH(orders!I$1,products!$A$1:$G$1,0))</f>
        <v>Rob</v>
      </c>
      <c r="J501" s="10" t="str">
        <f>INDEX(products!$A$2:$G$49,MATCH(orders!$D501,products!$A$2:$A$49,0),MATCH(orders!J$1,products!$A$1:$G$1,0))</f>
        <v>D</v>
      </c>
      <c r="K501" s="11">
        <f>INDEX(products!$A$2:$G$49,MATCH(orders!$D501,products!$A$2:$A$49,0),MATCH(orders!K$1,products!$A$1:$G$1,0))</f>
        <v>0.2</v>
      </c>
      <c r="L501" s="12">
        <f>INDEX(products!$A$2:$G$49,MATCH(orders!$D501,products!$A$2:$A$49,0),MATCH(orders!L$1,products!$A$1:$G$1,0))</f>
        <v>2.6849999999999996</v>
      </c>
      <c r="M501" s="12">
        <f t="shared" si="21"/>
        <v>8.0549999999999997</v>
      </c>
      <c r="N501" s="10" t="str">
        <f t="shared" si="22"/>
        <v>Robusta</v>
      </c>
      <c r="O501" s="10" t="str">
        <f t="shared" si="23"/>
        <v>Dark</v>
      </c>
      <c r="P501" s="10" t="str">
        <f>_xlfn.XLOOKUP(Tableau1[[#This Row],[Customer ID]],customers!A$2:A$1001,customers!I$2:I$1001)</f>
        <v>Yes</v>
      </c>
    </row>
    <row r="502" spans="1:16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9" t="str">
        <f>_xlfn.XLOOKUP(orders!C502,customers!$A$2:$A$1001,customers!$B$2:$B$1001)</f>
        <v>Alf Housaman</v>
      </c>
      <c r="G502" s="9" t="str">
        <f>IF(_xlfn.XLOOKUP(orders!C502,customers!$A$2:$A$1001,customers!$C$2:$C$1001,,,)=0,"",_xlfn.XLOOKUP(orders!C502,customers!$A$2:$A$1001,customers!$C$2:$C$1001,,,))</f>
        <v/>
      </c>
      <c r="H502" s="9" t="str">
        <f>_xlfn.XLOOKUP(C502,customers!$A$2:$A$1001,customers!$G$2:$G$1001,"")</f>
        <v>United States</v>
      </c>
      <c r="I502" s="10" t="str">
        <f>INDEX(products!$A$2:$G$49,MATCH(orders!$D502,products!$A$2:$A$49,0),MATCH(orders!I$1,products!$A$1:$G$1,0))</f>
        <v>Rob</v>
      </c>
      <c r="J502" s="10" t="str">
        <f>INDEX(products!$A$2:$G$49,MATCH(orders!$D502,products!$A$2:$A$49,0),MATCH(orders!J$1,products!$A$1:$G$1,0))</f>
        <v>L</v>
      </c>
      <c r="K502" s="11">
        <f>INDEX(products!$A$2:$G$49,MATCH(orders!$D502,products!$A$2:$A$49,0),MATCH(orders!K$1,products!$A$1:$G$1,0))</f>
        <v>1</v>
      </c>
      <c r="L502" s="12">
        <f>INDEX(products!$A$2:$G$49,MATCH(orders!$D502,products!$A$2:$A$49,0),MATCH(orders!L$1,products!$A$1:$G$1,0))</f>
        <v>11.95</v>
      </c>
      <c r="M502" s="12">
        <f t="shared" si="21"/>
        <v>47.8</v>
      </c>
      <c r="N502" s="10" t="str">
        <f t="shared" si="22"/>
        <v>Robusta</v>
      </c>
      <c r="O502" s="10" t="str">
        <f t="shared" si="23"/>
        <v>Light</v>
      </c>
      <c r="P502" s="10" t="str">
        <f>_xlfn.XLOOKUP(Tableau1[[#This Row],[Customer ID]],customers!A$2:A$1001,customers!I$2:I$1001)</f>
        <v>No</v>
      </c>
    </row>
    <row r="503" spans="1:16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9" t="str">
        <f>_xlfn.XLOOKUP(orders!C503,customers!$A$2:$A$1001,customers!$B$2:$B$1001)</f>
        <v>Gladi Ducker</v>
      </c>
      <c r="G503" s="9" t="str">
        <f>IF(_xlfn.XLOOKUP(orders!C503,customers!$A$2:$A$1001,customers!$C$2:$C$1001,,,)=0,"",_xlfn.XLOOKUP(orders!C503,customers!$A$2:$A$1001,customers!$C$2:$C$1001,,,))</f>
        <v>gduckerdx@patch.com</v>
      </c>
      <c r="H503" s="9" t="str">
        <f>_xlfn.XLOOKUP(C503,customers!$A$2:$A$1001,customers!$G$2:$G$1001,"")</f>
        <v>United Kingdom</v>
      </c>
      <c r="I503" s="10" t="str">
        <f>INDEX(products!$A$2:$G$49,MATCH(orders!$D503,products!$A$2:$A$49,0),MATCH(orders!I$1,products!$A$1:$G$1,0))</f>
        <v>Rob</v>
      </c>
      <c r="J503" s="10" t="str">
        <f>INDEX(products!$A$2:$G$49,MATCH(orders!$D503,products!$A$2:$A$49,0),MATCH(orders!J$1,products!$A$1:$G$1,0))</f>
        <v>M</v>
      </c>
      <c r="K503" s="11">
        <f>INDEX(products!$A$2:$G$49,MATCH(orders!$D503,products!$A$2:$A$49,0),MATCH(orders!K$1,products!$A$1:$G$1,0))</f>
        <v>0.2</v>
      </c>
      <c r="L503" s="12">
        <f>INDEX(products!$A$2:$G$49,MATCH(orders!$D503,products!$A$2:$A$49,0),MATCH(orders!L$1,products!$A$1:$G$1,0))</f>
        <v>2.9849999999999999</v>
      </c>
      <c r="M503" s="12">
        <f t="shared" si="21"/>
        <v>11.94</v>
      </c>
      <c r="N503" s="10" t="str">
        <f t="shared" si="22"/>
        <v>Robusta</v>
      </c>
      <c r="O503" s="10" t="str">
        <f t="shared" si="23"/>
        <v>Medium</v>
      </c>
      <c r="P503" s="10" t="str">
        <f>_xlfn.XLOOKUP(Tableau1[[#This Row],[Customer ID]],customers!A$2:A$1001,customers!I$2:I$1001)</f>
        <v>No</v>
      </c>
    </row>
    <row r="504" spans="1:16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9" t="str">
        <f>_xlfn.XLOOKUP(orders!C504,customers!$A$2:$A$1001,customers!$B$2:$B$1001)</f>
        <v>Gladi Ducker</v>
      </c>
      <c r="G504" s="9" t="str">
        <f>IF(_xlfn.XLOOKUP(orders!C504,customers!$A$2:$A$1001,customers!$C$2:$C$1001,,,)=0,"",_xlfn.XLOOKUP(orders!C504,customers!$A$2:$A$1001,customers!$C$2:$C$1001,,,))</f>
        <v>gduckerdx@patch.com</v>
      </c>
      <c r="H504" s="9" t="str">
        <f>_xlfn.XLOOKUP(C504,customers!$A$2:$A$1001,customers!$G$2:$G$1001,"")</f>
        <v>United Kingdom</v>
      </c>
      <c r="I504" s="10" t="str">
        <f>INDEX(products!$A$2:$G$49,MATCH(orders!$D504,products!$A$2:$A$49,0),MATCH(orders!I$1,products!$A$1:$G$1,0))</f>
        <v>Exc</v>
      </c>
      <c r="J504" s="10" t="str">
        <f>INDEX(products!$A$2:$G$49,MATCH(orders!$D504,products!$A$2:$A$49,0),MATCH(orders!J$1,products!$A$1:$G$1,0))</f>
        <v>M</v>
      </c>
      <c r="K504" s="11">
        <f>INDEX(products!$A$2:$G$49,MATCH(orders!$D504,products!$A$2:$A$49,0),MATCH(orders!K$1,products!$A$1:$G$1,0))</f>
        <v>0.2</v>
      </c>
      <c r="L504" s="12">
        <f>INDEX(products!$A$2:$G$49,MATCH(orders!$D504,products!$A$2:$A$49,0),MATCH(orders!L$1,products!$A$1:$G$1,0))</f>
        <v>4.125</v>
      </c>
      <c r="M504" s="12">
        <f t="shared" si="21"/>
        <v>16.5</v>
      </c>
      <c r="N504" s="10" t="str">
        <f t="shared" si="22"/>
        <v>Excelsa</v>
      </c>
      <c r="O504" s="10" t="str">
        <f t="shared" si="23"/>
        <v>Medium</v>
      </c>
      <c r="P504" s="10" t="str">
        <f>_xlfn.XLOOKUP(Tableau1[[#This Row],[Customer ID]],customers!A$2:A$1001,customers!I$2:I$1001)</f>
        <v>No</v>
      </c>
    </row>
    <row r="505" spans="1:16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9" t="str">
        <f>_xlfn.XLOOKUP(orders!C505,customers!$A$2:$A$1001,customers!$B$2:$B$1001)</f>
        <v>Gladi Ducker</v>
      </c>
      <c r="G505" s="9" t="str">
        <f>IF(_xlfn.XLOOKUP(orders!C505,customers!$A$2:$A$1001,customers!$C$2:$C$1001,,,)=0,"",_xlfn.XLOOKUP(orders!C505,customers!$A$2:$A$1001,customers!$C$2:$C$1001,,,))</f>
        <v>gduckerdx@patch.com</v>
      </c>
      <c r="H505" s="9" t="str">
        <f>_xlfn.XLOOKUP(C505,customers!$A$2:$A$1001,customers!$G$2:$G$1001,"")</f>
        <v>United Kingdom</v>
      </c>
      <c r="I505" s="10" t="str">
        <f>INDEX(products!$A$2:$G$49,MATCH(orders!$D505,products!$A$2:$A$49,0),MATCH(orders!I$1,products!$A$1:$G$1,0))</f>
        <v>Lib</v>
      </c>
      <c r="J505" s="10" t="str">
        <f>INDEX(products!$A$2:$G$49,MATCH(orders!$D505,products!$A$2:$A$49,0),MATCH(orders!J$1,products!$A$1:$G$1,0))</f>
        <v>D</v>
      </c>
      <c r="K505" s="11">
        <f>INDEX(products!$A$2:$G$49,MATCH(orders!$D505,products!$A$2:$A$49,0),MATCH(orders!K$1,products!$A$1:$G$1,0))</f>
        <v>1</v>
      </c>
      <c r="L505" s="12">
        <f>INDEX(products!$A$2:$G$49,MATCH(orders!$D505,products!$A$2:$A$49,0),MATCH(orders!L$1,products!$A$1:$G$1,0))</f>
        <v>12.95</v>
      </c>
      <c r="M505" s="12">
        <f t="shared" si="21"/>
        <v>51.8</v>
      </c>
      <c r="N505" s="10" t="str">
        <f t="shared" si="22"/>
        <v>Liberica</v>
      </c>
      <c r="O505" s="10" t="str">
        <f t="shared" si="23"/>
        <v>Dark</v>
      </c>
      <c r="P505" s="10" t="str">
        <f>_xlfn.XLOOKUP(Tableau1[[#This Row],[Customer ID]],customers!A$2:A$1001,customers!I$2:I$1001)</f>
        <v>No</v>
      </c>
    </row>
    <row r="506" spans="1:16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9" t="str">
        <f>_xlfn.XLOOKUP(orders!C506,customers!$A$2:$A$1001,customers!$B$2:$B$1001)</f>
        <v>Gladi Ducker</v>
      </c>
      <c r="G506" s="9" t="str">
        <f>IF(_xlfn.XLOOKUP(orders!C506,customers!$A$2:$A$1001,customers!$C$2:$C$1001,,,)=0,"",_xlfn.XLOOKUP(orders!C506,customers!$A$2:$A$1001,customers!$C$2:$C$1001,,,))</f>
        <v>gduckerdx@patch.com</v>
      </c>
      <c r="H506" s="9" t="str">
        <f>_xlfn.XLOOKUP(C506,customers!$A$2:$A$1001,customers!$G$2:$G$1001,"")</f>
        <v>United Kingdom</v>
      </c>
      <c r="I506" s="10" t="str">
        <f>INDEX(products!$A$2:$G$49,MATCH(orders!$D506,products!$A$2:$A$49,0),MATCH(orders!I$1,products!$A$1:$G$1,0))</f>
        <v>Lib</v>
      </c>
      <c r="J506" s="10" t="str">
        <f>INDEX(products!$A$2:$G$49,MATCH(orders!$D506,products!$A$2:$A$49,0),MATCH(orders!J$1,products!$A$1:$G$1,0))</f>
        <v>L</v>
      </c>
      <c r="K506" s="11">
        <f>INDEX(products!$A$2:$G$49,MATCH(orders!$D506,products!$A$2:$A$49,0),MATCH(orders!K$1,products!$A$1:$G$1,0))</f>
        <v>0.2</v>
      </c>
      <c r="L506" s="12">
        <f>INDEX(products!$A$2:$G$49,MATCH(orders!$D506,products!$A$2:$A$49,0),MATCH(orders!L$1,products!$A$1:$G$1,0))</f>
        <v>4.7549999999999999</v>
      </c>
      <c r="M506" s="12">
        <f t="shared" si="21"/>
        <v>14.265000000000001</v>
      </c>
      <c r="N506" s="10" t="str">
        <f t="shared" si="22"/>
        <v>Liberica</v>
      </c>
      <c r="O506" s="10" t="str">
        <f t="shared" si="23"/>
        <v>Light</v>
      </c>
      <c r="P506" s="10" t="str">
        <f>_xlfn.XLOOKUP(Tableau1[[#This Row],[Customer ID]],customers!A$2:A$1001,customers!I$2:I$1001)</f>
        <v>No</v>
      </c>
    </row>
    <row r="507" spans="1:16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9" t="str">
        <f>_xlfn.XLOOKUP(orders!C507,customers!$A$2:$A$1001,customers!$B$2:$B$1001)</f>
        <v>Wain Stearley</v>
      </c>
      <c r="G507" s="9" t="str">
        <f>IF(_xlfn.XLOOKUP(orders!C507,customers!$A$2:$A$1001,customers!$C$2:$C$1001,,,)=0,"",_xlfn.XLOOKUP(orders!C507,customers!$A$2:$A$1001,customers!$C$2:$C$1001,,,))</f>
        <v>wstearleye1@census.gov</v>
      </c>
      <c r="H507" s="9" t="str">
        <f>_xlfn.XLOOKUP(C507,customers!$A$2:$A$1001,customers!$G$2:$G$1001,"")</f>
        <v>United States</v>
      </c>
      <c r="I507" s="10" t="str">
        <f>INDEX(products!$A$2:$G$49,MATCH(orders!$D507,products!$A$2:$A$49,0),MATCH(orders!I$1,products!$A$1:$G$1,0))</f>
        <v>Lib</v>
      </c>
      <c r="J507" s="10" t="str">
        <f>INDEX(products!$A$2:$G$49,MATCH(orders!$D507,products!$A$2:$A$49,0),MATCH(orders!J$1,products!$A$1:$G$1,0))</f>
        <v>M</v>
      </c>
      <c r="K507" s="11">
        <f>INDEX(products!$A$2:$G$49,MATCH(orders!$D507,products!$A$2:$A$49,0),MATCH(orders!K$1,products!$A$1:$G$1,0))</f>
        <v>0.2</v>
      </c>
      <c r="L507" s="12">
        <f>INDEX(products!$A$2:$G$49,MATCH(orders!$D507,products!$A$2:$A$49,0),MATCH(orders!L$1,products!$A$1:$G$1,0))</f>
        <v>4.3650000000000002</v>
      </c>
      <c r="M507" s="12">
        <f t="shared" si="21"/>
        <v>26.19</v>
      </c>
      <c r="N507" s="10" t="str">
        <f t="shared" si="22"/>
        <v>Liberica</v>
      </c>
      <c r="O507" s="10" t="str">
        <f t="shared" si="23"/>
        <v>Medium</v>
      </c>
      <c r="P507" s="10" t="str">
        <f>_xlfn.XLOOKUP(Tableau1[[#This Row],[Customer ID]],customers!A$2:A$1001,customers!I$2:I$1001)</f>
        <v>No</v>
      </c>
    </row>
    <row r="508" spans="1:16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9" t="str">
        <f>_xlfn.XLOOKUP(orders!C508,customers!$A$2:$A$1001,customers!$B$2:$B$1001)</f>
        <v>Diane-marie Wincer</v>
      </c>
      <c r="G508" s="9" t="str">
        <f>IF(_xlfn.XLOOKUP(orders!C508,customers!$A$2:$A$1001,customers!$C$2:$C$1001,,,)=0,"",_xlfn.XLOOKUP(orders!C508,customers!$A$2:$A$1001,customers!$C$2:$C$1001,,,))</f>
        <v>dwincere2@marriott.com</v>
      </c>
      <c r="H508" s="9" t="str">
        <f>_xlfn.XLOOKUP(C508,customers!$A$2:$A$1001,customers!$G$2:$G$1001,"")</f>
        <v>United States</v>
      </c>
      <c r="I508" s="10" t="str">
        <f>INDEX(products!$A$2:$G$49,MATCH(orders!$D508,products!$A$2:$A$49,0),MATCH(orders!I$1,products!$A$1:$G$1,0))</f>
        <v>Ara</v>
      </c>
      <c r="J508" s="10" t="str">
        <f>INDEX(products!$A$2:$G$49,MATCH(orders!$D508,products!$A$2:$A$49,0),MATCH(orders!J$1,products!$A$1:$G$1,0))</f>
        <v>L</v>
      </c>
      <c r="K508" s="11">
        <f>INDEX(products!$A$2:$G$49,MATCH(orders!$D508,products!$A$2:$A$49,0),MATCH(orders!K$1,products!$A$1:$G$1,0))</f>
        <v>1</v>
      </c>
      <c r="L508" s="12">
        <f>INDEX(products!$A$2:$G$49,MATCH(orders!$D508,products!$A$2:$A$49,0),MATCH(orders!L$1,products!$A$1:$G$1,0))</f>
        <v>12.95</v>
      </c>
      <c r="M508" s="12">
        <f t="shared" si="21"/>
        <v>25.9</v>
      </c>
      <c r="N508" s="10" t="str">
        <f t="shared" si="22"/>
        <v>Arabica</v>
      </c>
      <c r="O508" s="10" t="str">
        <f t="shared" si="23"/>
        <v>Light</v>
      </c>
      <c r="P508" s="10" t="str">
        <f>_xlfn.XLOOKUP(Tableau1[[#This Row],[Customer ID]],customers!A$2:A$1001,customers!I$2:I$1001)</f>
        <v>Yes</v>
      </c>
    </row>
    <row r="509" spans="1:16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9" t="str">
        <f>_xlfn.XLOOKUP(orders!C509,customers!$A$2:$A$1001,customers!$B$2:$B$1001)</f>
        <v>Perry Lyfield</v>
      </c>
      <c r="G509" s="9" t="str">
        <f>IF(_xlfn.XLOOKUP(orders!C509,customers!$A$2:$A$1001,customers!$C$2:$C$1001,,,)=0,"",_xlfn.XLOOKUP(orders!C509,customers!$A$2:$A$1001,customers!$C$2:$C$1001,,,))</f>
        <v>plyfielde3@baidu.com</v>
      </c>
      <c r="H509" s="9" t="str">
        <f>_xlfn.XLOOKUP(C509,customers!$A$2:$A$1001,customers!$G$2:$G$1001,"")</f>
        <v>United States</v>
      </c>
      <c r="I509" s="10" t="str">
        <f>INDEX(products!$A$2:$G$49,MATCH(orders!$D509,products!$A$2:$A$49,0),MATCH(orders!I$1,products!$A$1:$G$1,0))</f>
        <v>Ara</v>
      </c>
      <c r="J509" s="10" t="str">
        <f>INDEX(products!$A$2:$G$49,MATCH(orders!$D509,products!$A$2:$A$49,0),MATCH(orders!J$1,products!$A$1:$G$1,0))</f>
        <v>L</v>
      </c>
      <c r="K509" s="11">
        <f>INDEX(products!$A$2:$G$49,MATCH(orders!$D509,products!$A$2:$A$49,0),MATCH(orders!K$1,products!$A$1:$G$1,0))</f>
        <v>2.5</v>
      </c>
      <c r="L509" s="12">
        <f>INDEX(products!$A$2:$G$49,MATCH(orders!$D509,products!$A$2:$A$49,0),MATCH(orders!L$1,products!$A$1:$G$1,0))</f>
        <v>29.784999999999997</v>
      </c>
      <c r="M509" s="12">
        <f t="shared" si="21"/>
        <v>89.35499999999999</v>
      </c>
      <c r="N509" s="10" t="str">
        <f t="shared" si="22"/>
        <v>Arabica</v>
      </c>
      <c r="O509" s="10" t="str">
        <f t="shared" si="23"/>
        <v>Light</v>
      </c>
      <c r="P509" s="10" t="str">
        <f>_xlfn.XLOOKUP(Tableau1[[#This Row],[Customer ID]],customers!A$2:A$1001,customers!I$2:I$1001)</f>
        <v>Yes</v>
      </c>
    </row>
    <row r="510" spans="1:16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9" t="str">
        <f>_xlfn.XLOOKUP(orders!C510,customers!$A$2:$A$1001,customers!$B$2:$B$1001)</f>
        <v>Heall Perris</v>
      </c>
      <c r="G510" s="9" t="str">
        <f>IF(_xlfn.XLOOKUP(orders!C510,customers!$A$2:$A$1001,customers!$C$2:$C$1001,,,)=0,"",_xlfn.XLOOKUP(orders!C510,customers!$A$2:$A$1001,customers!$C$2:$C$1001,,,))</f>
        <v>hperrise4@studiopress.com</v>
      </c>
      <c r="H510" s="9" t="str">
        <f>_xlfn.XLOOKUP(C510,customers!$A$2:$A$1001,customers!$G$2:$G$1001,"")</f>
        <v>Ireland</v>
      </c>
      <c r="I510" s="10" t="str">
        <f>INDEX(products!$A$2:$G$49,MATCH(orders!$D510,products!$A$2:$A$49,0),MATCH(orders!I$1,products!$A$1:$G$1,0))</f>
        <v>Lib</v>
      </c>
      <c r="J510" s="10" t="str">
        <f>INDEX(products!$A$2:$G$49,MATCH(orders!$D510,products!$A$2:$A$49,0),MATCH(orders!J$1,products!$A$1:$G$1,0))</f>
        <v>D</v>
      </c>
      <c r="K510" s="11">
        <f>INDEX(products!$A$2:$G$49,MATCH(orders!$D510,products!$A$2:$A$49,0),MATCH(orders!K$1,products!$A$1:$G$1,0))</f>
        <v>0.5</v>
      </c>
      <c r="L510" s="12">
        <f>INDEX(products!$A$2:$G$49,MATCH(orders!$D510,products!$A$2:$A$49,0),MATCH(orders!L$1,products!$A$1:$G$1,0))</f>
        <v>7.77</v>
      </c>
      <c r="M510" s="12">
        <f t="shared" si="21"/>
        <v>46.62</v>
      </c>
      <c r="N510" s="10" t="str">
        <f t="shared" si="22"/>
        <v>Liberica</v>
      </c>
      <c r="O510" s="10" t="str">
        <f t="shared" si="23"/>
        <v>Dark</v>
      </c>
      <c r="P510" s="10" t="str">
        <f>_xlfn.XLOOKUP(Tableau1[[#This Row],[Customer ID]],customers!A$2:A$1001,customers!I$2:I$1001)</f>
        <v>No</v>
      </c>
    </row>
    <row r="511" spans="1:16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9" t="str">
        <f>_xlfn.XLOOKUP(orders!C511,customers!$A$2:$A$1001,customers!$B$2:$B$1001)</f>
        <v>Marja Urion</v>
      </c>
      <c r="G511" s="9" t="str">
        <f>IF(_xlfn.XLOOKUP(orders!C511,customers!$A$2:$A$1001,customers!$C$2:$C$1001,,,)=0,"",_xlfn.XLOOKUP(orders!C511,customers!$A$2:$A$1001,customers!$C$2:$C$1001,,,))</f>
        <v>murione5@alexa.com</v>
      </c>
      <c r="H511" s="9" t="str">
        <f>_xlfn.XLOOKUP(C511,customers!$A$2:$A$1001,customers!$G$2:$G$1001,"")</f>
        <v>Ireland</v>
      </c>
      <c r="I511" s="10" t="str">
        <f>INDEX(products!$A$2:$G$49,MATCH(orders!$D511,products!$A$2:$A$49,0),MATCH(orders!I$1,products!$A$1:$G$1,0))</f>
        <v>Ara</v>
      </c>
      <c r="J511" s="10" t="str">
        <f>INDEX(products!$A$2:$G$49,MATCH(orders!$D511,products!$A$2:$A$49,0),MATCH(orders!J$1,products!$A$1:$G$1,0))</f>
        <v>D</v>
      </c>
      <c r="K511" s="11">
        <f>INDEX(products!$A$2:$G$49,MATCH(orders!$D511,products!$A$2:$A$49,0),MATCH(orders!K$1,products!$A$1:$G$1,0))</f>
        <v>1</v>
      </c>
      <c r="L511" s="12">
        <f>INDEX(products!$A$2:$G$49,MATCH(orders!$D511,products!$A$2:$A$49,0),MATCH(orders!L$1,products!$A$1:$G$1,0))</f>
        <v>9.9499999999999993</v>
      </c>
      <c r="M511" s="12">
        <f t="shared" si="21"/>
        <v>29.849999999999998</v>
      </c>
      <c r="N511" s="10" t="str">
        <f t="shared" si="22"/>
        <v>Arabica</v>
      </c>
      <c r="O511" s="10" t="str">
        <f t="shared" si="23"/>
        <v>Dark</v>
      </c>
      <c r="P511" s="10" t="str">
        <f>_xlfn.XLOOKUP(Tableau1[[#This Row],[Customer ID]],customers!A$2:A$1001,customers!I$2:I$1001)</f>
        <v>Yes</v>
      </c>
    </row>
    <row r="512" spans="1:16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9" t="str">
        <f>_xlfn.XLOOKUP(orders!C512,customers!$A$2:$A$1001,customers!$B$2:$B$1001)</f>
        <v>Camellia Kid</v>
      </c>
      <c r="G512" s="9" t="str">
        <f>IF(_xlfn.XLOOKUP(orders!C512,customers!$A$2:$A$1001,customers!$C$2:$C$1001,,,)=0,"",_xlfn.XLOOKUP(orders!C512,customers!$A$2:$A$1001,customers!$C$2:$C$1001,,,))</f>
        <v>ckide6@narod.ru</v>
      </c>
      <c r="H512" s="9" t="str">
        <f>_xlfn.XLOOKUP(C512,customers!$A$2:$A$1001,customers!$G$2:$G$1001,"")</f>
        <v>Ireland</v>
      </c>
      <c r="I512" s="10" t="str">
        <f>INDEX(products!$A$2:$G$49,MATCH(orders!$D512,products!$A$2:$A$49,0),MATCH(orders!I$1,products!$A$1:$G$1,0))</f>
        <v>Rob</v>
      </c>
      <c r="J512" s="10" t="str">
        <f>INDEX(products!$A$2:$G$49,MATCH(orders!$D512,products!$A$2:$A$49,0),MATCH(orders!J$1,products!$A$1:$G$1,0))</f>
        <v>L</v>
      </c>
      <c r="K512" s="11">
        <f>INDEX(products!$A$2:$G$49,MATCH(orders!$D512,products!$A$2:$A$49,0),MATCH(orders!K$1,products!$A$1:$G$1,0))</f>
        <v>0.2</v>
      </c>
      <c r="L512" s="12">
        <f>INDEX(products!$A$2:$G$49,MATCH(orders!$D512,products!$A$2:$A$49,0),MATCH(orders!L$1,products!$A$1:$G$1,0))</f>
        <v>3.5849999999999995</v>
      </c>
      <c r="M512" s="12">
        <f t="shared" si="21"/>
        <v>10.754999999999999</v>
      </c>
      <c r="N512" s="10" t="str">
        <f t="shared" si="22"/>
        <v>Robusta</v>
      </c>
      <c r="O512" s="10" t="str">
        <f t="shared" si="23"/>
        <v>Light</v>
      </c>
      <c r="P512" s="10" t="str">
        <f>_xlfn.XLOOKUP(Tableau1[[#This Row],[Customer ID]],customers!A$2:A$1001,customers!I$2:I$1001)</f>
        <v>Yes</v>
      </c>
    </row>
    <row r="513" spans="1:16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9" t="str">
        <f>_xlfn.XLOOKUP(orders!C513,customers!$A$2:$A$1001,customers!$B$2:$B$1001)</f>
        <v>Carolann Beine</v>
      </c>
      <c r="G513" s="9" t="str">
        <f>IF(_xlfn.XLOOKUP(orders!C513,customers!$A$2:$A$1001,customers!$C$2:$C$1001,,,)=0,"",_xlfn.XLOOKUP(orders!C513,customers!$A$2:$A$1001,customers!$C$2:$C$1001,,,))</f>
        <v>cbeinee7@xinhuanet.com</v>
      </c>
      <c r="H513" s="9" t="str">
        <f>_xlfn.XLOOKUP(C513,customers!$A$2:$A$1001,customers!$G$2:$G$1001,"")</f>
        <v>United States</v>
      </c>
      <c r="I513" s="10" t="str">
        <f>INDEX(products!$A$2:$G$49,MATCH(orders!$D513,products!$A$2:$A$49,0),MATCH(orders!I$1,products!$A$1:$G$1,0))</f>
        <v>Ara</v>
      </c>
      <c r="J513" s="10" t="str">
        <f>INDEX(products!$A$2:$G$49,MATCH(orders!$D513,products!$A$2:$A$49,0),MATCH(orders!J$1,products!$A$1:$G$1,0))</f>
        <v>M</v>
      </c>
      <c r="K513" s="11">
        <f>INDEX(products!$A$2:$G$49,MATCH(orders!$D513,products!$A$2:$A$49,0),MATCH(orders!K$1,products!$A$1:$G$1,0))</f>
        <v>0.2</v>
      </c>
      <c r="L513" s="12">
        <f>INDEX(products!$A$2:$G$49,MATCH(orders!$D513,products!$A$2:$A$49,0),MATCH(orders!L$1,products!$A$1:$G$1,0))</f>
        <v>3.375</v>
      </c>
      <c r="M513" s="12">
        <f t="shared" si="21"/>
        <v>13.5</v>
      </c>
      <c r="N513" s="10" t="str">
        <f t="shared" si="22"/>
        <v>Arabica</v>
      </c>
      <c r="O513" s="10" t="str">
        <f t="shared" si="23"/>
        <v>Medium</v>
      </c>
      <c r="P513" s="10" t="str">
        <f>_xlfn.XLOOKUP(Tableau1[[#This Row],[Customer ID]],customers!A$2:A$1001,customers!I$2:I$1001)</f>
        <v>Yes</v>
      </c>
    </row>
    <row r="514" spans="1:16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9" t="str">
        <f>_xlfn.XLOOKUP(orders!C514,customers!$A$2:$A$1001,customers!$B$2:$B$1001)</f>
        <v>Celia Bakeup</v>
      </c>
      <c r="G514" s="9" t="str">
        <f>IF(_xlfn.XLOOKUP(orders!C514,customers!$A$2:$A$1001,customers!$C$2:$C$1001,,,)=0,"",_xlfn.XLOOKUP(orders!C514,customers!$A$2:$A$1001,customers!$C$2:$C$1001,,,))</f>
        <v>cbakeupe8@globo.com</v>
      </c>
      <c r="H514" s="9" t="str">
        <f>_xlfn.XLOOKUP(C514,customers!$A$2:$A$1001,customers!$G$2:$G$1001,"")</f>
        <v>United States</v>
      </c>
      <c r="I514" s="10" t="str">
        <f>INDEX(products!$A$2:$G$49,MATCH(orders!$D514,products!$A$2:$A$49,0),MATCH(orders!I$1,products!$A$1:$G$1,0))</f>
        <v>Lib</v>
      </c>
      <c r="J514" s="10" t="str">
        <f>INDEX(products!$A$2:$G$49,MATCH(orders!$D514,products!$A$2:$A$49,0),MATCH(orders!J$1,products!$A$1:$G$1,0))</f>
        <v>L</v>
      </c>
      <c r="K514" s="11">
        <f>INDEX(products!$A$2:$G$49,MATCH(orders!$D514,products!$A$2:$A$49,0),MATCH(orders!K$1,products!$A$1:$G$1,0))</f>
        <v>1</v>
      </c>
      <c r="L514" s="12">
        <f>INDEX(products!$A$2:$G$49,MATCH(orders!$D514,products!$A$2:$A$49,0),MATCH(orders!L$1,products!$A$1:$G$1,0))</f>
        <v>15.85</v>
      </c>
      <c r="M514" s="12">
        <f t="shared" si="21"/>
        <v>47.55</v>
      </c>
      <c r="N514" s="10" t="str">
        <f t="shared" si="22"/>
        <v>Liberica</v>
      </c>
      <c r="O514" s="10" t="str">
        <f t="shared" si="23"/>
        <v>Light</v>
      </c>
      <c r="P514" s="10" t="str">
        <f>_xlfn.XLOOKUP(Tableau1[[#This Row],[Customer ID]],customers!A$2:A$1001,customers!I$2:I$1001)</f>
        <v>No</v>
      </c>
    </row>
    <row r="515" spans="1:16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9" t="str">
        <f>_xlfn.XLOOKUP(orders!C515,customers!$A$2:$A$1001,customers!$B$2:$B$1001)</f>
        <v>Nataniel Helkin</v>
      </c>
      <c r="G515" s="9" t="str">
        <f>IF(_xlfn.XLOOKUP(orders!C515,customers!$A$2:$A$1001,customers!$C$2:$C$1001,,,)=0,"",_xlfn.XLOOKUP(orders!C515,customers!$A$2:$A$1001,customers!$C$2:$C$1001,,,))</f>
        <v>nhelkine9@example.com</v>
      </c>
      <c r="H515" s="9" t="str">
        <f>_xlfn.XLOOKUP(C515,customers!$A$2:$A$1001,customers!$G$2:$G$1001,"")</f>
        <v>United States</v>
      </c>
      <c r="I515" s="10" t="str">
        <f>INDEX(products!$A$2:$G$49,MATCH(orders!$D515,products!$A$2:$A$49,0),MATCH(orders!I$1,products!$A$1:$G$1,0))</f>
        <v>Lib</v>
      </c>
      <c r="J515" s="10" t="str">
        <f>INDEX(products!$A$2:$G$49,MATCH(orders!$D515,products!$A$2:$A$49,0),MATCH(orders!J$1,products!$A$1:$G$1,0))</f>
        <v>L</v>
      </c>
      <c r="K515" s="11">
        <f>INDEX(products!$A$2:$G$49,MATCH(orders!$D515,products!$A$2:$A$49,0),MATCH(orders!K$1,products!$A$1:$G$1,0))</f>
        <v>1</v>
      </c>
      <c r="L515" s="12">
        <f>INDEX(products!$A$2:$G$49,MATCH(orders!$D515,products!$A$2:$A$49,0),MATCH(orders!L$1,products!$A$1:$G$1,0))</f>
        <v>15.85</v>
      </c>
      <c r="M515" s="12">
        <f t="shared" ref="M515:M578" si="24">L515*E515</f>
        <v>79.25</v>
      </c>
      <c r="N515" s="10" t="str">
        <f t="shared" ref="N515:N578" si="25">IF(I515="Rob","Robusta",IF(I515="Exc","Excelsa",IF(I515="Ara","Arabica",IF(I515="Lib","Liberica"))))</f>
        <v>Liberica</v>
      </c>
      <c r="O515" s="10" t="str">
        <f t="shared" ref="O515:O578" si="26">IF(J515="M","Medium",IF(J515="L","Light",IF(J515="D","Dark")))</f>
        <v>Light</v>
      </c>
      <c r="P515" s="10" t="str">
        <f>_xlfn.XLOOKUP(Tableau1[[#This Row],[Customer ID]],customers!A$2:A$1001,customers!I$2:I$1001)</f>
        <v>No</v>
      </c>
    </row>
    <row r="516" spans="1:16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9" t="str">
        <f>_xlfn.XLOOKUP(orders!C516,customers!$A$2:$A$1001,customers!$B$2:$B$1001)</f>
        <v>Pippo Witherington</v>
      </c>
      <c r="G516" s="9" t="str">
        <f>IF(_xlfn.XLOOKUP(orders!C516,customers!$A$2:$A$1001,customers!$C$2:$C$1001,,,)=0,"",_xlfn.XLOOKUP(orders!C516,customers!$A$2:$A$1001,customers!$C$2:$C$1001,,,))</f>
        <v>pwitheringtonea@networkadvertising.org</v>
      </c>
      <c r="H516" s="9" t="str">
        <f>_xlfn.XLOOKUP(C516,customers!$A$2:$A$1001,customers!$G$2:$G$1001,"")</f>
        <v>United States</v>
      </c>
      <c r="I516" s="10" t="str">
        <f>INDEX(products!$A$2:$G$49,MATCH(orders!$D516,products!$A$2:$A$49,0),MATCH(orders!I$1,products!$A$1:$G$1,0))</f>
        <v>Lib</v>
      </c>
      <c r="J516" s="10" t="str">
        <f>INDEX(products!$A$2:$G$49,MATCH(orders!$D516,products!$A$2:$A$49,0),MATCH(orders!J$1,products!$A$1:$G$1,0))</f>
        <v>M</v>
      </c>
      <c r="K516" s="11">
        <f>INDEX(products!$A$2:$G$49,MATCH(orders!$D516,products!$A$2:$A$49,0),MATCH(orders!K$1,products!$A$1:$G$1,0))</f>
        <v>0.2</v>
      </c>
      <c r="L516" s="12">
        <f>INDEX(products!$A$2:$G$49,MATCH(orders!$D516,products!$A$2:$A$49,0),MATCH(orders!L$1,products!$A$1:$G$1,0))</f>
        <v>4.3650000000000002</v>
      </c>
      <c r="M516" s="12">
        <f t="shared" si="24"/>
        <v>26.19</v>
      </c>
      <c r="N516" s="10" t="str">
        <f t="shared" si="25"/>
        <v>Liberica</v>
      </c>
      <c r="O516" s="10" t="str">
        <f t="shared" si="26"/>
        <v>Medium</v>
      </c>
      <c r="P516" s="10" t="str">
        <f>_xlfn.XLOOKUP(Tableau1[[#This Row],[Customer ID]],customers!A$2:A$1001,customers!I$2:I$1001)</f>
        <v>Yes</v>
      </c>
    </row>
    <row r="517" spans="1:16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9" t="str">
        <f>_xlfn.XLOOKUP(orders!C517,customers!$A$2:$A$1001,customers!$B$2:$B$1001)</f>
        <v>Tildie Tilzey</v>
      </c>
      <c r="G517" s="9" t="str">
        <f>IF(_xlfn.XLOOKUP(orders!C517,customers!$A$2:$A$1001,customers!$C$2:$C$1001,,,)=0,"",_xlfn.XLOOKUP(orders!C517,customers!$A$2:$A$1001,customers!$C$2:$C$1001,,,))</f>
        <v>ttilzeyeb@hostgator.com</v>
      </c>
      <c r="H517" s="9" t="str">
        <f>_xlfn.XLOOKUP(C517,customers!$A$2:$A$1001,customers!$G$2:$G$1001,"")</f>
        <v>United States</v>
      </c>
      <c r="I517" s="10" t="str">
        <f>INDEX(products!$A$2:$G$49,MATCH(orders!$D517,products!$A$2:$A$49,0),MATCH(orders!I$1,products!$A$1:$G$1,0))</f>
        <v>Rob</v>
      </c>
      <c r="J517" s="10" t="str">
        <f>INDEX(products!$A$2:$G$49,MATCH(orders!$D517,products!$A$2:$A$49,0),MATCH(orders!J$1,products!$A$1:$G$1,0))</f>
        <v>L</v>
      </c>
      <c r="K517" s="11">
        <f>INDEX(products!$A$2:$G$49,MATCH(orders!$D517,products!$A$2:$A$49,0),MATCH(orders!K$1,products!$A$1:$G$1,0))</f>
        <v>0.5</v>
      </c>
      <c r="L517" s="12">
        <f>INDEX(products!$A$2:$G$49,MATCH(orders!$D517,products!$A$2:$A$49,0),MATCH(orders!L$1,products!$A$1:$G$1,0))</f>
        <v>7.169999999999999</v>
      </c>
      <c r="M517" s="12">
        <f t="shared" si="24"/>
        <v>21.509999999999998</v>
      </c>
      <c r="N517" s="10" t="str">
        <f t="shared" si="25"/>
        <v>Robusta</v>
      </c>
      <c r="O517" s="10" t="str">
        <f t="shared" si="26"/>
        <v>Light</v>
      </c>
      <c r="P517" s="10" t="str">
        <f>_xlfn.XLOOKUP(Tableau1[[#This Row],[Customer ID]],customers!A$2:A$1001,customers!I$2:I$1001)</f>
        <v>No</v>
      </c>
    </row>
    <row r="518" spans="1:16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9" t="str">
        <f>_xlfn.XLOOKUP(orders!C518,customers!$A$2:$A$1001,customers!$B$2:$B$1001)</f>
        <v>Cindra Burling</v>
      </c>
      <c r="G518" s="9" t="str">
        <f>IF(_xlfn.XLOOKUP(orders!C518,customers!$A$2:$A$1001,customers!$C$2:$C$1001,,,)=0,"",_xlfn.XLOOKUP(orders!C518,customers!$A$2:$A$1001,customers!$C$2:$C$1001,,,))</f>
        <v/>
      </c>
      <c r="H518" s="9" t="str">
        <f>_xlfn.XLOOKUP(C518,customers!$A$2:$A$1001,customers!$G$2:$G$1001,"")</f>
        <v>United States</v>
      </c>
      <c r="I518" s="10" t="str">
        <f>INDEX(products!$A$2:$G$49,MATCH(orders!$D518,products!$A$2:$A$49,0),MATCH(orders!I$1,products!$A$1:$G$1,0))</f>
        <v>Rob</v>
      </c>
      <c r="J518" s="10" t="str">
        <f>INDEX(products!$A$2:$G$49,MATCH(orders!$D518,products!$A$2:$A$49,0),MATCH(orders!J$1,products!$A$1:$G$1,0))</f>
        <v>D</v>
      </c>
      <c r="K518" s="11">
        <f>INDEX(products!$A$2:$G$49,MATCH(orders!$D518,products!$A$2:$A$49,0),MATCH(orders!K$1,products!$A$1:$G$1,0))</f>
        <v>2.5</v>
      </c>
      <c r="L518" s="12">
        <f>INDEX(products!$A$2:$G$49,MATCH(orders!$D518,products!$A$2:$A$49,0),MATCH(orders!L$1,products!$A$1:$G$1,0))</f>
        <v>20.584999999999997</v>
      </c>
      <c r="M518" s="12">
        <f t="shared" si="24"/>
        <v>102.92499999999998</v>
      </c>
      <c r="N518" s="10" t="str">
        <f t="shared" si="25"/>
        <v>Robusta</v>
      </c>
      <c r="O518" s="10" t="str">
        <f t="shared" si="26"/>
        <v>Dark</v>
      </c>
      <c r="P518" s="10" t="str">
        <f>_xlfn.XLOOKUP(Tableau1[[#This Row],[Customer ID]],customers!A$2:A$1001,customers!I$2:I$1001)</f>
        <v>Yes</v>
      </c>
    </row>
    <row r="519" spans="1:16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9" t="str">
        <f>_xlfn.XLOOKUP(orders!C519,customers!$A$2:$A$1001,customers!$B$2:$B$1001)</f>
        <v>Channa Belamy</v>
      </c>
      <c r="G519" s="9" t="str">
        <f>IF(_xlfn.XLOOKUP(orders!C519,customers!$A$2:$A$1001,customers!$C$2:$C$1001,,,)=0,"",_xlfn.XLOOKUP(orders!C519,customers!$A$2:$A$1001,customers!$C$2:$C$1001,,,))</f>
        <v/>
      </c>
      <c r="H519" s="9" t="str">
        <f>_xlfn.XLOOKUP(C519,customers!$A$2:$A$1001,customers!$G$2:$G$1001,"")</f>
        <v>United States</v>
      </c>
      <c r="I519" s="10" t="str">
        <f>INDEX(products!$A$2:$G$49,MATCH(orders!$D519,products!$A$2:$A$49,0),MATCH(orders!I$1,products!$A$1:$G$1,0))</f>
        <v>Lib</v>
      </c>
      <c r="J519" s="10" t="str">
        <f>INDEX(products!$A$2:$G$49,MATCH(orders!$D519,products!$A$2:$A$49,0),MATCH(orders!J$1,products!$A$1:$G$1,0))</f>
        <v>D</v>
      </c>
      <c r="K519" s="11">
        <f>INDEX(products!$A$2:$G$49,MATCH(orders!$D519,products!$A$2:$A$49,0),MATCH(orders!K$1,products!$A$1:$G$1,0))</f>
        <v>0.2</v>
      </c>
      <c r="L519" s="12">
        <f>INDEX(products!$A$2:$G$49,MATCH(orders!$D519,products!$A$2:$A$49,0),MATCH(orders!L$1,products!$A$1:$G$1,0))</f>
        <v>3.8849999999999998</v>
      </c>
      <c r="M519" s="12">
        <f t="shared" si="24"/>
        <v>7.77</v>
      </c>
      <c r="N519" s="10" t="str">
        <f t="shared" si="25"/>
        <v>Liberica</v>
      </c>
      <c r="O519" s="10" t="str">
        <f t="shared" si="26"/>
        <v>Dark</v>
      </c>
      <c r="P519" s="10" t="str">
        <f>_xlfn.XLOOKUP(Tableau1[[#This Row],[Customer ID]],customers!A$2:A$1001,customers!I$2:I$1001)</f>
        <v>No</v>
      </c>
    </row>
    <row r="520" spans="1:16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9" t="str">
        <f>_xlfn.XLOOKUP(orders!C520,customers!$A$2:$A$1001,customers!$B$2:$B$1001)</f>
        <v>Karl Imorts</v>
      </c>
      <c r="G520" s="9" t="str">
        <f>IF(_xlfn.XLOOKUP(orders!C520,customers!$A$2:$A$1001,customers!$C$2:$C$1001,,,)=0,"",_xlfn.XLOOKUP(orders!C520,customers!$A$2:$A$1001,customers!$C$2:$C$1001,,,))</f>
        <v>kimortsee@alexa.com</v>
      </c>
      <c r="H520" s="9" t="str">
        <f>_xlfn.XLOOKUP(C520,customers!$A$2:$A$1001,customers!$G$2:$G$1001,"")</f>
        <v>United States</v>
      </c>
      <c r="I520" s="10" t="str">
        <f>INDEX(products!$A$2:$G$49,MATCH(orders!$D520,products!$A$2:$A$49,0),MATCH(orders!I$1,products!$A$1:$G$1,0))</f>
        <v>Exc</v>
      </c>
      <c r="J520" s="10" t="str">
        <f>INDEX(products!$A$2:$G$49,MATCH(orders!$D520,products!$A$2:$A$49,0),MATCH(orders!J$1,products!$A$1:$G$1,0))</f>
        <v>D</v>
      </c>
      <c r="K520" s="11">
        <f>INDEX(products!$A$2:$G$49,MATCH(orders!$D520,products!$A$2:$A$49,0),MATCH(orders!K$1,products!$A$1:$G$1,0))</f>
        <v>2.5</v>
      </c>
      <c r="L520" s="12">
        <f>INDEX(products!$A$2:$G$49,MATCH(orders!$D520,products!$A$2:$A$49,0),MATCH(orders!L$1,products!$A$1:$G$1,0))</f>
        <v>27.945</v>
      </c>
      <c r="M520" s="12">
        <f t="shared" si="24"/>
        <v>139.72499999999999</v>
      </c>
      <c r="N520" s="10" t="str">
        <f t="shared" si="25"/>
        <v>Excelsa</v>
      </c>
      <c r="O520" s="10" t="str">
        <f t="shared" si="26"/>
        <v>Dark</v>
      </c>
      <c r="P520" s="10" t="str">
        <f>_xlfn.XLOOKUP(Tableau1[[#This Row],[Customer ID]],customers!A$2:A$1001,customers!I$2:I$1001)</f>
        <v>No</v>
      </c>
    </row>
    <row r="521" spans="1:16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9" t="str">
        <f>_xlfn.XLOOKUP(orders!C521,customers!$A$2:$A$1001,customers!$B$2:$B$1001)</f>
        <v>Marja Urion</v>
      </c>
      <c r="G521" s="9" t="str">
        <f>IF(_xlfn.XLOOKUP(orders!C521,customers!$A$2:$A$1001,customers!$C$2:$C$1001,,,)=0,"",_xlfn.XLOOKUP(orders!C521,customers!$A$2:$A$1001,customers!$C$2:$C$1001,,,))</f>
        <v>murione5@alexa.com</v>
      </c>
      <c r="H521" s="9" t="str">
        <f>_xlfn.XLOOKUP(C521,customers!$A$2:$A$1001,customers!$G$2:$G$1001,"")</f>
        <v>Ireland</v>
      </c>
      <c r="I521" s="10" t="str">
        <f>INDEX(products!$A$2:$G$49,MATCH(orders!$D521,products!$A$2:$A$49,0),MATCH(orders!I$1,products!$A$1:$G$1,0))</f>
        <v>Ara</v>
      </c>
      <c r="J521" s="10" t="str">
        <f>INDEX(products!$A$2:$G$49,MATCH(orders!$D521,products!$A$2:$A$49,0),MATCH(orders!J$1,products!$A$1:$G$1,0))</f>
        <v>D</v>
      </c>
      <c r="K521" s="11">
        <f>INDEX(products!$A$2:$G$49,MATCH(orders!$D521,products!$A$2:$A$49,0),MATCH(orders!K$1,products!$A$1:$G$1,0))</f>
        <v>0.5</v>
      </c>
      <c r="L521" s="12">
        <f>INDEX(products!$A$2:$G$49,MATCH(orders!$D521,products!$A$2:$A$49,0),MATCH(orders!L$1,products!$A$1:$G$1,0))</f>
        <v>5.97</v>
      </c>
      <c r="M521" s="12">
        <f t="shared" si="24"/>
        <v>11.94</v>
      </c>
      <c r="N521" s="10" t="str">
        <f t="shared" si="25"/>
        <v>Arabica</v>
      </c>
      <c r="O521" s="10" t="str">
        <f t="shared" si="26"/>
        <v>Dark</v>
      </c>
      <c r="P521" s="10" t="str">
        <f>_xlfn.XLOOKUP(Tableau1[[#This Row],[Customer ID]],customers!A$2:A$1001,customers!I$2:I$1001)</f>
        <v>Yes</v>
      </c>
    </row>
    <row r="522" spans="1:16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9" t="str">
        <f>_xlfn.XLOOKUP(orders!C522,customers!$A$2:$A$1001,customers!$B$2:$B$1001)</f>
        <v>Mag Armistead</v>
      </c>
      <c r="G522" s="9" t="str">
        <f>IF(_xlfn.XLOOKUP(orders!C522,customers!$A$2:$A$1001,customers!$C$2:$C$1001,,,)=0,"",_xlfn.XLOOKUP(orders!C522,customers!$A$2:$A$1001,customers!$C$2:$C$1001,,,))</f>
        <v>marmisteadeg@blogtalkradio.com</v>
      </c>
      <c r="H522" s="9" t="str">
        <f>_xlfn.XLOOKUP(C522,customers!$A$2:$A$1001,customers!$G$2:$G$1001,"")</f>
        <v>United States</v>
      </c>
      <c r="I522" s="10" t="str">
        <f>INDEX(products!$A$2:$G$49,MATCH(orders!$D522,products!$A$2:$A$49,0),MATCH(orders!I$1,products!$A$1:$G$1,0))</f>
        <v>Lib</v>
      </c>
      <c r="J522" s="10" t="str">
        <f>INDEX(products!$A$2:$G$49,MATCH(orders!$D522,products!$A$2:$A$49,0),MATCH(orders!J$1,products!$A$1:$G$1,0))</f>
        <v>D</v>
      </c>
      <c r="K522" s="11">
        <f>INDEX(products!$A$2:$G$49,MATCH(orders!$D522,products!$A$2:$A$49,0),MATCH(orders!K$1,products!$A$1:$G$1,0))</f>
        <v>0.2</v>
      </c>
      <c r="L522" s="12">
        <f>INDEX(products!$A$2:$G$49,MATCH(orders!$D522,products!$A$2:$A$49,0),MATCH(orders!L$1,products!$A$1:$G$1,0))</f>
        <v>3.8849999999999998</v>
      </c>
      <c r="M522" s="12">
        <f t="shared" si="24"/>
        <v>3.8849999999999998</v>
      </c>
      <c r="N522" s="10" t="str">
        <f t="shared" si="25"/>
        <v>Liberica</v>
      </c>
      <c r="O522" s="10" t="str">
        <f t="shared" si="26"/>
        <v>Dark</v>
      </c>
      <c r="P522" s="10" t="str">
        <f>_xlfn.XLOOKUP(Tableau1[[#This Row],[Customer ID]],customers!A$2:A$1001,customers!I$2:I$1001)</f>
        <v>No</v>
      </c>
    </row>
    <row r="523" spans="1:16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9" t="str">
        <f>_xlfn.XLOOKUP(orders!C523,customers!$A$2:$A$1001,customers!$B$2:$B$1001)</f>
        <v>Mag Armistead</v>
      </c>
      <c r="G523" s="9" t="str">
        <f>IF(_xlfn.XLOOKUP(orders!C523,customers!$A$2:$A$1001,customers!$C$2:$C$1001,,,)=0,"",_xlfn.XLOOKUP(orders!C523,customers!$A$2:$A$1001,customers!$C$2:$C$1001,,,))</f>
        <v>marmisteadeg@blogtalkradio.com</v>
      </c>
      <c r="H523" s="9" t="str">
        <f>_xlfn.XLOOKUP(C523,customers!$A$2:$A$1001,customers!$G$2:$G$1001,"")</f>
        <v>United States</v>
      </c>
      <c r="I523" s="10" t="str">
        <f>INDEX(products!$A$2:$G$49,MATCH(orders!$D523,products!$A$2:$A$49,0),MATCH(orders!I$1,products!$A$1:$G$1,0))</f>
        <v>Rob</v>
      </c>
      <c r="J523" s="10" t="str">
        <f>INDEX(products!$A$2:$G$49,MATCH(orders!$D523,products!$A$2:$A$49,0),MATCH(orders!J$1,products!$A$1:$G$1,0))</f>
        <v>M</v>
      </c>
      <c r="K523" s="11">
        <f>INDEX(products!$A$2:$G$49,MATCH(orders!$D523,products!$A$2:$A$49,0),MATCH(orders!K$1,products!$A$1:$G$1,0))</f>
        <v>1</v>
      </c>
      <c r="L523" s="12">
        <f>INDEX(products!$A$2:$G$49,MATCH(orders!$D523,products!$A$2:$A$49,0),MATCH(orders!L$1,products!$A$1:$G$1,0))</f>
        <v>9.9499999999999993</v>
      </c>
      <c r="M523" s="12">
        <f t="shared" si="24"/>
        <v>39.799999999999997</v>
      </c>
      <c r="N523" s="10" t="str">
        <f t="shared" si="25"/>
        <v>Robusta</v>
      </c>
      <c r="O523" s="10" t="str">
        <f t="shared" si="26"/>
        <v>Medium</v>
      </c>
      <c r="P523" s="10" t="str">
        <f>_xlfn.XLOOKUP(Tableau1[[#This Row],[Customer ID]],customers!A$2:A$1001,customers!I$2:I$1001)</f>
        <v>No</v>
      </c>
    </row>
    <row r="524" spans="1:16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9" t="str">
        <f>_xlfn.XLOOKUP(orders!C524,customers!$A$2:$A$1001,customers!$B$2:$B$1001)</f>
        <v>Vasili Upstone</v>
      </c>
      <c r="G524" s="9" t="str">
        <f>IF(_xlfn.XLOOKUP(orders!C524,customers!$A$2:$A$1001,customers!$C$2:$C$1001,,,)=0,"",_xlfn.XLOOKUP(orders!C524,customers!$A$2:$A$1001,customers!$C$2:$C$1001,,,))</f>
        <v>vupstoneei@google.pl</v>
      </c>
      <c r="H524" s="9" t="str">
        <f>_xlfn.XLOOKUP(C524,customers!$A$2:$A$1001,customers!$G$2:$G$1001,"")</f>
        <v>United States</v>
      </c>
      <c r="I524" s="10" t="str">
        <f>INDEX(products!$A$2:$G$49,MATCH(orders!$D524,products!$A$2:$A$49,0),MATCH(orders!I$1,products!$A$1:$G$1,0))</f>
        <v>Rob</v>
      </c>
      <c r="J524" s="10" t="str">
        <f>INDEX(products!$A$2:$G$49,MATCH(orders!$D524,products!$A$2:$A$49,0),MATCH(orders!J$1,products!$A$1:$G$1,0))</f>
        <v>M</v>
      </c>
      <c r="K524" s="11">
        <f>INDEX(products!$A$2:$G$49,MATCH(orders!$D524,products!$A$2:$A$49,0),MATCH(orders!K$1,products!$A$1:$G$1,0))</f>
        <v>0.5</v>
      </c>
      <c r="L524" s="12">
        <f>INDEX(products!$A$2:$G$49,MATCH(orders!$D524,products!$A$2:$A$49,0),MATCH(orders!L$1,products!$A$1:$G$1,0))</f>
        <v>5.97</v>
      </c>
      <c r="M524" s="12">
        <f t="shared" si="24"/>
        <v>29.849999999999998</v>
      </c>
      <c r="N524" s="10" t="str">
        <f t="shared" si="25"/>
        <v>Robusta</v>
      </c>
      <c r="O524" s="10" t="str">
        <f t="shared" si="26"/>
        <v>Medium</v>
      </c>
      <c r="P524" s="10" t="str">
        <f>_xlfn.XLOOKUP(Tableau1[[#This Row],[Customer ID]],customers!A$2:A$1001,customers!I$2:I$1001)</f>
        <v>No</v>
      </c>
    </row>
    <row r="525" spans="1:16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9" t="str">
        <f>_xlfn.XLOOKUP(orders!C525,customers!$A$2:$A$1001,customers!$B$2:$B$1001)</f>
        <v>Berty Beelby</v>
      </c>
      <c r="G525" s="9" t="str">
        <f>IF(_xlfn.XLOOKUP(orders!C525,customers!$A$2:$A$1001,customers!$C$2:$C$1001,,,)=0,"",_xlfn.XLOOKUP(orders!C525,customers!$A$2:$A$1001,customers!$C$2:$C$1001,,,))</f>
        <v>bbeelbyej@rediff.com</v>
      </c>
      <c r="H525" s="9" t="str">
        <f>_xlfn.XLOOKUP(C525,customers!$A$2:$A$1001,customers!$G$2:$G$1001,"")</f>
        <v>Ireland</v>
      </c>
      <c r="I525" s="10" t="str">
        <f>INDEX(products!$A$2:$G$49,MATCH(orders!$D525,products!$A$2:$A$49,0),MATCH(orders!I$1,products!$A$1:$G$1,0))</f>
        <v>Lib</v>
      </c>
      <c r="J525" s="10" t="str">
        <f>INDEX(products!$A$2:$G$49,MATCH(orders!$D525,products!$A$2:$A$49,0),MATCH(orders!J$1,products!$A$1:$G$1,0))</f>
        <v>D</v>
      </c>
      <c r="K525" s="11">
        <f>INDEX(products!$A$2:$G$49,MATCH(orders!$D525,products!$A$2:$A$49,0),MATCH(orders!K$1,products!$A$1:$G$1,0))</f>
        <v>2.5</v>
      </c>
      <c r="L525" s="12">
        <f>INDEX(products!$A$2:$G$49,MATCH(orders!$D525,products!$A$2:$A$49,0),MATCH(orders!L$1,products!$A$1:$G$1,0))</f>
        <v>29.784999999999997</v>
      </c>
      <c r="M525" s="12">
        <f t="shared" si="24"/>
        <v>29.784999999999997</v>
      </c>
      <c r="N525" s="10" t="str">
        <f t="shared" si="25"/>
        <v>Liberica</v>
      </c>
      <c r="O525" s="10" t="str">
        <f t="shared" si="26"/>
        <v>Dark</v>
      </c>
      <c r="P525" s="10" t="str">
        <f>_xlfn.XLOOKUP(Tableau1[[#This Row],[Customer ID]],customers!A$2:A$1001,customers!I$2:I$1001)</f>
        <v>No</v>
      </c>
    </row>
    <row r="526" spans="1:16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9" t="str">
        <f>_xlfn.XLOOKUP(orders!C526,customers!$A$2:$A$1001,customers!$B$2:$B$1001)</f>
        <v>Erny Stenyng</v>
      </c>
      <c r="G526" s="9" t="str">
        <f>IF(_xlfn.XLOOKUP(orders!C526,customers!$A$2:$A$1001,customers!$C$2:$C$1001,,,)=0,"",_xlfn.XLOOKUP(orders!C526,customers!$A$2:$A$1001,customers!$C$2:$C$1001,,,))</f>
        <v/>
      </c>
      <c r="H526" s="9" t="str">
        <f>_xlfn.XLOOKUP(C526,customers!$A$2:$A$1001,customers!$G$2:$G$1001,"")</f>
        <v>United States</v>
      </c>
      <c r="I526" s="10" t="str">
        <f>INDEX(products!$A$2:$G$49,MATCH(orders!$D526,products!$A$2:$A$49,0),MATCH(orders!I$1,products!$A$1:$G$1,0))</f>
        <v>Lib</v>
      </c>
      <c r="J526" s="10" t="str">
        <f>INDEX(products!$A$2:$G$49,MATCH(orders!$D526,products!$A$2:$A$49,0),MATCH(orders!J$1,products!$A$1:$G$1,0))</f>
        <v>L</v>
      </c>
      <c r="K526" s="11">
        <f>INDEX(products!$A$2:$G$49,MATCH(orders!$D526,products!$A$2:$A$49,0),MATCH(orders!K$1,products!$A$1:$G$1,0))</f>
        <v>2.5</v>
      </c>
      <c r="L526" s="12">
        <f>INDEX(products!$A$2:$G$49,MATCH(orders!$D526,products!$A$2:$A$49,0),MATCH(orders!L$1,products!$A$1:$G$1,0))</f>
        <v>36.454999999999998</v>
      </c>
      <c r="M526" s="12">
        <f t="shared" si="24"/>
        <v>72.91</v>
      </c>
      <c r="N526" s="10" t="str">
        <f t="shared" si="25"/>
        <v>Liberica</v>
      </c>
      <c r="O526" s="10" t="str">
        <f t="shared" si="26"/>
        <v>Light</v>
      </c>
      <c r="P526" s="10" t="str">
        <f>_xlfn.XLOOKUP(Tableau1[[#This Row],[Customer ID]],customers!A$2:A$1001,customers!I$2:I$1001)</f>
        <v>No</v>
      </c>
    </row>
    <row r="527" spans="1:16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9" t="str">
        <f>_xlfn.XLOOKUP(orders!C527,customers!$A$2:$A$1001,customers!$B$2:$B$1001)</f>
        <v>Edin Yantsurev</v>
      </c>
      <c r="G527" s="9" t="str">
        <f>IF(_xlfn.XLOOKUP(orders!C527,customers!$A$2:$A$1001,customers!$C$2:$C$1001,,,)=0,"",_xlfn.XLOOKUP(orders!C527,customers!$A$2:$A$1001,customers!$C$2:$C$1001,,,))</f>
        <v/>
      </c>
      <c r="H527" s="9" t="str">
        <f>_xlfn.XLOOKUP(C527,customers!$A$2:$A$1001,customers!$G$2:$G$1001,"")</f>
        <v>United States</v>
      </c>
      <c r="I527" s="10" t="str">
        <f>INDEX(products!$A$2:$G$49,MATCH(orders!$D527,products!$A$2:$A$49,0),MATCH(orders!I$1,products!$A$1:$G$1,0))</f>
        <v>Rob</v>
      </c>
      <c r="J527" s="10" t="str">
        <f>INDEX(products!$A$2:$G$49,MATCH(orders!$D527,products!$A$2:$A$49,0),MATCH(orders!J$1,products!$A$1:$G$1,0))</f>
        <v>D</v>
      </c>
      <c r="K527" s="11">
        <f>INDEX(products!$A$2:$G$49,MATCH(orders!$D527,products!$A$2:$A$49,0),MATCH(orders!K$1,products!$A$1:$G$1,0))</f>
        <v>0.2</v>
      </c>
      <c r="L527" s="12">
        <f>INDEX(products!$A$2:$G$49,MATCH(orders!$D527,products!$A$2:$A$49,0),MATCH(orders!L$1,products!$A$1:$G$1,0))</f>
        <v>2.6849999999999996</v>
      </c>
      <c r="M527" s="12">
        <f t="shared" si="24"/>
        <v>13.424999999999997</v>
      </c>
      <c r="N527" s="10" t="str">
        <f t="shared" si="25"/>
        <v>Robusta</v>
      </c>
      <c r="O527" s="10" t="str">
        <f t="shared" si="26"/>
        <v>Dark</v>
      </c>
      <c r="P527" s="10" t="str">
        <f>_xlfn.XLOOKUP(Tableau1[[#This Row],[Customer ID]],customers!A$2:A$1001,customers!I$2:I$1001)</f>
        <v>Yes</v>
      </c>
    </row>
    <row r="528" spans="1:16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9" t="str">
        <f>_xlfn.XLOOKUP(orders!C528,customers!$A$2:$A$1001,customers!$B$2:$B$1001)</f>
        <v>Webb Speechly</v>
      </c>
      <c r="G528" s="9" t="str">
        <f>IF(_xlfn.XLOOKUP(orders!C528,customers!$A$2:$A$1001,customers!$C$2:$C$1001,,,)=0,"",_xlfn.XLOOKUP(orders!C528,customers!$A$2:$A$1001,customers!$C$2:$C$1001,,,))</f>
        <v>wspeechlyem@amazon.com</v>
      </c>
      <c r="H528" s="9" t="str">
        <f>_xlfn.XLOOKUP(C528,customers!$A$2:$A$1001,customers!$G$2:$G$1001,"")</f>
        <v>United States</v>
      </c>
      <c r="I528" s="10" t="str">
        <f>INDEX(products!$A$2:$G$49,MATCH(orders!$D528,products!$A$2:$A$49,0),MATCH(orders!I$1,products!$A$1:$G$1,0))</f>
        <v>Exc</v>
      </c>
      <c r="J528" s="10" t="str">
        <f>INDEX(products!$A$2:$G$49,MATCH(orders!$D528,products!$A$2:$A$49,0),MATCH(orders!J$1,products!$A$1:$G$1,0))</f>
        <v>M</v>
      </c>
      <c r="K528" s="11">
        <f>INDEX(products!$A$2:$G$49,MATCH(orders!$D528,products!$A$2:$A$49,0),MATCH(orders!K$1,products!$A$1:$G$1,0))</f>
        <v>2.5</v>
      </c>
      <c r="L528" s="12">
        <f>INDEX(products!$A$2:$G$49,MATCH(orders!$D528,products!$A$2:$A$49,0),MATCH(orders!L$1,products!$A$1:$G$1,0))</f>
        <v>31.624999999999996</v>
      </c>
      <c r="M528" s="12">
        <f t="shared" si="24"/>
        <v>126.49999999999999</v>
      </c>
      <c r="N528" s="10" t="str">
        <f t="shared" si="25"/>
        <v>Excelsa</v>
      </c>
      <c r="O528" s="10" t="str">
        <f t="shared" si="26"/>
        <v>Medium</v>
      </c>
      <c r="P528" s="10" t="str">
        <f>_xlfn.XLOOKUP(Tableau1[[#This Row],[Customer ID]],customers!A$2:A$1001,customers!I$2:I$1001)</f>
        <v>Yes</v>
      </c>
    </row>
    <row r="529" spans="1:16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9" t="str">
        <f>_xlfn.XLOOKUP(orders!C529,customers!$A$2:$A$1001,customers!$B$2:$B$1001)</f>
        <v>Irvine Phillpot</v>
      </c>
      <c r="G529" s="9" t="str">
        <f>IF(_xlfn.XLOOKUP(orders!C529,customers!$A$2:$A$1001,customers!$C$2:$C$1001,,,)=0,"",_xlfn.XLOOKUP(orders!C529,customers!$A$2:$A$1001,customers!$C$2:$C$1001,,,))</f>
        <v>iphillpoten@buzzfeed.com</v>
      </c>
      <c r="H529" s="9" t="str">
        <f>_xlfn.XLOOKUP(C529,customers!$A$2:$A$1001,customers!$G$2:$G$1001,"")</f>
        <v>United Kingdom</v>
      </c>
      <c r="I529" s="10" t="str">
        <f>INDEX(products!$A$2:$G$49,MATCH(orders!$D529,products!$A$2:$A$49,0),MATCH(orders!I$1,products!$A$1:$G$1,0))</f>
        <v>Exc</v>
      </c>
      <c r="J529" s="10" t="str">
        <f>INDEX(products!$A$2:$G$49,MATCH(orders!$D529,products!$A$2:$A$49,0),MATCH(orders!J$1,products!$A$1:$G$1,0))</f>
        <v>M</v>
      </c>
      <c r="K529" s="11">
        <f>INDEX(products!$A$2:$G$49,MATCH(orders!$D529,products!$A$2:$A$49,0),MATCH(orders!K$1,products!$A$1:$G$1,0))</f>
        <v>0.5</v>
      </c>
      <c r="L529" s="12">
        <f>INDEX(products!$A$2:$G$49,MATCH(orders!$D529,products!$A$2:$A$49,0),MATCH(orders!L$1,products!$A$1:$G$1,0))</f>
        <v>8.25</v>
      </c>
      <c r="M529" s="12">
        <f t="shared" si="24"/>
        <v>41.25</v>
      </c>
      <c r="N529" s="10" t="str">
        <f t="shared" si="25"/>
        <v>Excelsa</v>
      </c>
      <c r="O529" s="10" t="str">
        <f t="shared" si="26"/>
        <v>Medium</v>
      </c>
      <c r="P529" s="10" t="str">
        <f>_xlfn.XLOOKUP(Tableau1[[#This Row],[Customer ID]],customers!A$2:A$1001,customers!I$2:I$1001)</f>
        <v>No</v>
      </c>
    </row>
    <row r="530" spans="1:16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9" t="str">
        <f>_xlfn.XLOOKUP(orders!C530,customers!$A$2:$A$1001,customers!$B$2:$B$1001)</f>
        <v>Lem Pennacci</v>
      </c>
      <c r="G530" s="9" t="str">
        <f>IF(_xlfn.XLOOKUP(orders!C530,customers!$A$2:$A$1001,customers!$C$2:$C$1001,,,)=0,"",_xlfn.XLOOKUP(orders!C530,customers!$A$2:$A$1001,customers!$C$2:$C$1001,,,))</f>
        <v>lpennaccieo@statcounter.com</v>
      </c>
      <c r="H530" s="9" t="str">
        <f>_xlfn.XLOOKUP(C530,customers!$A$2:$A$1001,customers!$G$2:$G$1001,"")</f>
        <v>United States</v>
      </c>
      <c r="I530" s="10" t="str">
        <f>INDEX(products!$A$2:$G$49,MATCH(orders!$D530,products!$A$2:$A$49,0),MATCH(orders!I$1,products!$A$1:$G$1,0))</f>
        <v>Exc</v>
      </c>
      <c r="J530" s="10" t="str">
        <f>INDEX(products!$A$2:$G$49,MATCH(orders!$D530,products!$A$2:$A$49,0),MATCH(orders!J$1,products!$A$1:$G$1,0))</f>
        <v>L</v>
      </c>
      <c r="K530" s="11">
        <f>INDEX(products!$A$2:$G$49,MATCH(orders!$D530,products!$A$2:$A$49,0),MATCH(orders!K$1,products!$A$1:$G$1,0))</f>
        <v>0.5</v>
      </c>
      <c r="L530" s="12">
        <f>INDEX(products!$A$2:$G$49,MATCH(orders!$D530,products!$A$2:$A$49,0),MATCH(orders!L$1,products!$A$1:$G$1,0))</f>
        <v>8.91</v>
      </c>
      <c r="M530" s="12">
        <f t="shared" si="24"/>
        <v>53.46</v>
      </c>
      <c r="N530" s="10" t="str">
        <f t="shared" si="25"/>
        <v>Excelsa</v>
      </c>
      <c r="O530" s="10" t="str">
        <f t="shared" si="26"/>
        <v>Light</v>
      </c>
      <c r="P530" s="10" t="str">
        <f>_xlfn.XLOOKUP(Tableau1[[#This Row],[Customer ID]],customers!A$2:A$1001,customers!I$2:I$1001)</f>
        <v>No</v>
      </c>
    </row>
    <row r="531" spans="1:16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9" t="str">
        <f>_xlfn.XLOOKUP(orders!C531,customers!$A$2:$A$1001,customers!$B$2:$B$1001)</f>
        <v>Starr Arpin</v>
      </c>
      <c r="G531" s="9" t="str">
        <f>IF(_xlfn.XLOOKUP(orders!C531,customers!$A$2:$A$1001,customers!$C$2:$C$1001,,,)=0,"",_xlfn.XLOOKUP(orders!C531,customers!$A$2:$A$1001,customers!$C$2:$C$1001,,,))</f>
        <v>sarpinep@moonfruit.com</v>
      </c>
      <c r="H531" s="9" t="str">
        <f>_xlfn.XLOOKUP(C531,customers!$A$2:$A$1001,customers!$G$2:$G$1001,"")</f>
        <v>United States</v>
      </c>
      <c r="I531" s="10" t="str">
        <f>INDEX(products!$A$2:$G$49,MATCH(orders!$D531,products!$A$2:$A$49,0),MATCH(orders!I$1,products!$A$1:$G$1,0))</f>
        <v>Rob</v>
      </c>
      <c r="J531" s="10" t="str">
        <f>INDEX(products!$A$2:$G$49,MATCH(orders!$D531,products!$A$2:$A$49,0),MATCH(orders!J$1,products!$A$1:$G$1,0))</f>
        <v>M</v>
      </c>
      <c r="K531" s="11">
        <f>INDEX(products!$A$2:$G$49,MATCH(orders!$D531,products!$A$2:$A$49,0),MATCH(orders!K$1,products!$A$1:$G$1,0))</f>
        <v>1</v>
      </c>
      <c r="L531" s="12">
        <f>INDEX(products!$A$2:$G$49,MATCH(orders!$D531,products!$A$2:$A$49,0),MATCH(orders!L$1,products!$A$1:$G$1,0))</f>
        <v>9.9499999999999993</v>
      </c>
      <c r="M531" s="12">
        <f t="shared" si="24"/>
        <v>59.699999999999996</v>
      </c>
      <c r="N531" s="10" t="str">
        <f t="shared" si="25"/>
        <v>Robusta</v>
      </c>
      <c r="O531" s="10" t="str">
        <f t="shared" si="26"/>
        <v>Medium</v>
      </c>
      <c r="P531" s="10" t="str">
        <f>_xlfn.XLOOKUP(Tableau1[[#This Row],[Customer ID]],customers!A$2:A$1001,customers!I$2:I$1001)</f>
        <v>No</v>
      </c>
    </row>
    <row r="532" spans="1:16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9" t="str">
        <f>_xlfn.XLOOKUP(orders!C532,customers!$A$2:$A$1001,customers!$B$2:$B$1001)</f>
        <v>Donny Fries</v>
      </c>
      <c r="G532" s="9" t="str">
        <f>IF(_xlfn.XLOOKUP(orders!C532,customers!$A$2:$A$1001,customers!$C$2:$C$1001,,,)=0,"",_xlfn.XLOOKUP(orders!C532,customers!$A$2:$A$1001,customers!$C$2:$C$1001,,,))</f>
        <v>dfrieseq@cargocollective.com</v>
      </c>
      <c r="H532" s="9" t="str">
        <f>_xlfn.XLOOKUP(C532,customers!$A$2:$A$1001,customers!$G$2:$G$1001,"")</f>
        <v>United States</v>
      </c>
      <c r="I532" s="10" t="str">
        <f>INDEX(products!$A$2:$G$49,MATCH(orders!$D532,products!$A$2:$A$49,0),MATCH(orders!I$1,products!$A$1:$G$1,0))</f>
        <v>Rob</v>
      </c>
      <c r="J532" s="10" t="str">
        <f>INDEX(products!$A$2:$G$49,MATCH(orders!$D532,products!$A$2:$A$49,0),MATCH(orders!J$1,products!$A$1:$G$1,0))</f>
        <v>M</v>
      </c>
      <c r="K532" s="11">
        <f>INDEX(products!$A$2:$G$49,MATCH(orders!$D532,products!$A$2:$A$49,0),MATCH(orders!K$1,products!$A$1:$G$1,0))</f>
        <v>1</v>
      </c>
      <c r="L532" s="12">
        <f>INDEX(products!$A$2:$G$49,MATCH(orders!$D532,products!$A$2:$A$49,0),MATCH(orders!L$1,products!$A$1:$G$1,0))</f>
        <v>9.9499999999999993</v>
      </c>
      <c r="M532" s="12">
        <f t="shared" si="24"/>
        <v>59.699999999999996</v>
      </c>
      <c r="N532" s="10" t="str">
        <f t="shared" si="25"/>
        <v>Robusta</v>
      </c>
      <c r="O532" s="10" t="str">
        <f t="shared" si="26"/>
        <v>Medium</v>
      </c>
      <c r="P532" s="10" t="str">
        <f>_xlfn.XLOOKUP(Tableau1[[#This Row],[Customer ID]],customers!A$2:A$1001,customers!I$2:I$1001)</f>
        <v>No</v>
      </c>
    </row>
    <row r="533" spans="1:16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9" t="str">
        <f>_xlfn.XLOOKUP(orders!C533,customers!$A$2:$A$1001,customers!$B$2:$B$1001)</f>
        <v>Rana Sharer</v>
      </c>
      <c r="G533" s="9" t="str">
        <f>IF(_xlfn.XLOOKUP(orders!C533,customers!$A$2:$A$1001,customers!$C$2:$C$1001,,,)=0,"",_xlfn.XLOOKUP(orders!C533,customers!$A$2:$A$1001,customers!$C$2:$C$1001,,,))</f>
        <v>rsharerer@flavors.me</v>
      </c>
      <c r="H533" s="9" t="str">
        <f>_xlfn.XLOOKUP(C533,customers!$A$2:$A$1001,customers!$G$2:$G$1001,"")</f>
        <v>United States</v>
      </c>
      <c r="I533" s="10" t="str">
        <f>INDEX(products!$A$2:$G$49,MATCH(orders!$D533,products!$A$2:$A$49,0),MATCH(orders!I$1,products!$A$1:$G$1,0))</f>
        <v>Rob</v>
      </c>
      <c r="J533" s="10" t="str">
        <f>INDEX(products!$A$2:$G$49,MATCH(orders!$D533,products!$A$2:$A$49,0),MATCH(orders!J$1,products!$A$1:$G$1,0))</f>
        <v>D</v>
      </c>
      <c r="K533" s="11">
        <f>INDEX(products!$A$2:$G$49,MATCH(orders!$D533,products!$A$2:$A$49,0),MATCH(orders!K$1,products!$A$1:$G$1,0))</f>
        <v>1</v>
      </c>
      <c r="L533" s="12">
        <f>INDEX(products!$A$2:$G$49,MATCH(orders!$D533,products!$A$2:$A$49,0),MATCH(orders!L$1,products!$A$1:$G$1,0))</f>
        <v>8.9499999999999993</v>
      </c>
      <c r="M533" s="12">
        <f t="shared" si="24"/>
        <v>44.75</v>
      </c>
      <c r="N533" s="10" t="str">
        <f t="shared" si="25"/>
        <v>Robusta</v>
      </c>
      <c r="O533" s="10" t="str">
        <f t="shared" si="26"/>
        <v>Dark</v>
      </c>
      <c r="P533" s="10" t="str">
        <f>_xlfn.XLOOKUP(Tableau1[[#This Row],[Customer ID]],customers!A$2:A$1001,customers!I$2:I$1001)</f>
        <v>No</v>
      </c>
    </row>
    <row r="534" spans="1:16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9" t="str">
        <f>_xlfn.XLOOKUP(orders!C534,customers!$A$2:$A$1001,customers!$B$2:$B$1001)</f>
        <v>Nannie Naseby</v>
      </c>
      <c r="G534" s="9" t="str">
        <f>IF(_xlfn.XLOOKUP(orders!C534,customers!$A$2:$A$1001,customers!$C$2:$C$1001,,,)=0,"",_xlfn.XLOOKUP(orders!C534,customers!$A$2:$A$1001,customers!$C$2:$C$1001,,,))</f>
        <v>nnasebyes@umich.edu</v>
      </c>
      <c r="H534" s="9" t="str">
        <f>_xlfn.XLOOKUP(C534,customers!$A$2:$A$1001,customers!$G$2:$G$1001,"")</f>
        <v>United States</v>
      </c>
      <c r="I534" s="10" t="str">
        <f>INDEX(products!$A$2:$G$49,MATCH(orders!$D534,products!$A$2:$A$49,0),MATCH(orders!I$1,products!$A$1:$G$1,0))</f>
        <v>Exc</v>
      </c>
      <c r="J534" s="10" t="str">
        <f>INDEX(products!$A$2:$G$49,MATCH(orders!$D534,products!$A$2:$A$49,0),MATCH(orders!J$1,products!$A$1:$G$1,0))</f>
        <v>M</v>
      </c>
      <c r="K534" s="11">
        <f>INDEX(products!$A$2:$G$49,MATCH(orders!$D534,products!$A$2:$A$49,0),MATCH(orders!K$1,products!$A$1:$G$1,0))</f>
        <v>0.5</v>
      </c>
      <c r="L534" s="12">
        <f>INDEX(products!$A$2:$G$49,MATCH(orders!$D534,products!$A$2:$A$49,0),MATCH(orders!L$1,products!$A$1:$G$1,0))</f>
        <v>8.25</v>
      </c>
      <c r="M534" s="12">
        <f t="shared" si="24"/>
        <v>16.5</v>
      </c>
      <c r="N534" s="10" t="str">
        <f t="shared" si="25"/>
        <v>Excelsa</v>
      </c>
      <c r="O534" s="10" t="str">
        <f t="shared" si="26"/>
        <v>Medium</v>
      </c>
      <c r="P534" s="10" t="str">
        <f>_xlfn.XLOOKUP(Tableau1[[#This Row],[Customer ID]],customers!A$2:A$1001,customers!I$2:I$1001)</f>
        <v>Yes</v>
      </c>
    </row>
    <row r="535" spans="1:16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9" t="str">
        <f>_xlfn.XLOOKUP(orders!C535,customers!$A$2:$A$1001,customers!$B$2:$B$1001)</f>
        <v>Rea Offell</v>
      </c>
      <c r="G535" s="9" t="str">
        <f>IF(_xlfn.XLOOKUP(orders!C535,customers!$A$2:$A$1001,customers!$C$2:$C$1001,,,)=0,"",_xlfn.XLOOKUP(orders!C535,customers!$A$2:$A$1001,customers!$C$2:$C$1001,,,))</f>
        <v/>
      </c>
      <c r="H535" s="9" t="str">
        <f>_xlfn.XLOOKUP(C535,customers!$A$2:$A$1001,customers!$G$2:$G$1001,"")</f>
        <v>United States</v>
      </c>
      <c r="I535" s="10" t="str">
        <f>INDEX(products!$A$2:$G$49,MATCH(orders!$D535,products!$A$2:$A$49,0),MATCH(orders!I$1,products!$A$1:$G$1,0))</f>
        <v>Rob</v>
      </c>
      <c r="J535" s="10" t="str">
        <f>INDEX(products!$A$2:$G$49,MATCH(orders!$D535,products!$A$2:$A$49,0),MATCH(orders!J$1,products!$A$1:$G$1,0))</f>
        <v>D</v>
      </c>
      <c r="K535" s="11">
        <f>INDEX(products!$A$2:$G$49,MATCH(orders!$D535,products!$A$2:$A$49,0),MATCH(orders!K$1,products!$A$1:$G$1,0))</f>
        <v>0.5</v>
      </c>
      <c r="L535" s="12">
        <f>INDEX(products!$A$2:$G$49,MATCH(orders!$D535,products!$A$2:$A$49,0),MATCH(orders!L$1,products!$A$1:$G$1,0))</f>
        <v>5.3699999999999992</v>
      </c>
      <c r="M535" s="12">
        <f t="shared" si="24"/>
        <v>21.479999999999997</v>
      </c>
      <c r="N535" s="10" t="str">
        <f t="shared" si="25"/>
        <v>Robusta</v>
      </c>
      <c r="O535" s="10" t="str">
        <f t="shared" si="26"/>
        <v>Dark</v>
      </c>
      <c r="P535" s="10" t="str">
        <f>_xlfn.XLOOKUP(Tableau1[[#This Row],[Customer ID]],customers!A$2:A$1001,customers!I$2:I$1001)</f>
        <v>No</v>
      </c>
    </row>
    <row r="536" spans="1:16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9" t="str">
        <f>_xlfn.XLOOKUP(orders!C536,customers!$A$2:$A$1001,customers!$B$2:$B$1001)</f>
        <v>Kris O'Cullen</v>
      </c>
      <c r="G536" s="9" t="str">
        <f>IF(_xlfn.XLOOKUP(orders!C536,customers!$A$2:$A$1001,customers!$C$2:$C$1001,,,)=0,"",_xlfn.XLOOKUP(orders!C536,customers!$A$2:$A$1001,customers!$C$2:$C$1001,,,))</f>
        <v>koculleneu@ca.gov</v>
      </c>
      <c r="H536" s="9" t="str">
        <f>_xlfn.XLOOKUP(C536,customers!$A$2:$A$1001,customers!$G$2:$G$1001,"")</f>
        <v>Ireland</v>
      </c>
      <c r="I536" s="10" t="str">
        <f>INDEX(products!$A$2:$G$49,MATCH(orders!$D536,products!$A$2:$A$49,0),MATCH(orders!I$1,products!$A$1:$G$1,0))</f>
        <v>Rob</v>
      </c>
      <c r="J536" s="10" t="str">
        <f>INDEX(products!$A$2:$G$49,MATCH(orders!$D536,products!$A$2:$A$49,0),MATCH(orders!J$1,products!$A$1:$G$1,0))</f>
        <v>M</v>
      </c>
      <c r="K536" s="11">
        <f>INDEX(products!$A$2:$G$49,MATCH(orders!$D536,products!$A$2:$A$49,0),MATCH(orders!K$1,products!$A$1:$G$1,0))</f>
        <v>2.5</v>
      </c>
      <c r="L536" s="12">
        <f>INDEX(products!$A$2:$G$49,MATCH(orders!$D536,products!$A$2:$A$49,0),MATCH(orders!L$1,products!$A$1:$G$1,0))</f>
        <v>22.884999999999998</v>
      </c>
      <c r="M536" s="12">
        <f t="shared" si="24"/>
        <v>45.769999999999996</v>
      </c>
      <c r="N536" s="10" t="str">
        <f t="shared" si="25"/>
        <v>Robusta</v>
      </c>
      <c r="O536" s="10" t="str">
        <f t="shared" si="26"/>
        <v>Medium</v>
      </c>
      <c r="P536" s="10" t="str">
        <f>_xlfn.XLOOKUP(Tableau1[[#This Row],[Customer ID]],customers!A$2:A$1001,customers!I$2:I$1001)</f>
        <v>Yes</v>
      </c>
    </row>
    <row r="537" spans="1:16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9" t="str">
        <f>_xlfn.XLOOKUP(orders!C537,customers!$A$2:$A$1001,customers!$B$2:$B$1001)</f>
        <v>Timoteo Glisane</v>
      </c>
      <c r="G537" s="9" t="str">
        <f>IF(_xlfn.XLOOKUP(orders!C537,customers!$A$2:$A$1001,customers!$C$2:$C$1001,,,)=0,"",_xlfn.XLOOKUP(orders!C537,customers!$A$2:$A$1001,customers!$C$2:$C$1001,,,))</f>
        <v/>
      </c>
      <c r="H537" s="9" t="str">
        <f>_xlfn.XLOOKUP(C537,customers!$A$2:$A$1001,customers!$G$2:$G$1001,"")</f>
        <v>Ireland</v>
      </c>
      <c r="I537" s="10" t="str">
        <f>INDEX(products!$A$2:$G$49,MATCH(orders!$D537,products!$A$2:$A$49,0),MATCH(orders!I$1,products!$A$1:$G$1,0))</f>
        <v>Lib</v>
      </c>
      <c r="J537" s="10" t="str">
        <f>INDEX(products!$A$2:$G$49,MATCH(orders!$D537,products!$A$2:$A$49,0),MATCH(orders!J$1,products!$A$1:$G$1,0))</f>
        <v>L</v>
      </c>
      <c r="K537" s="11">
        <f>INDEX(products!$A$2:$G$49,MATCH(orders!$D537,products!$A$2:$A$49,0),MATCH(orders!K$1,products!$A$1:$G$1,0))</f>
        <v>0.2</v>
      </c>
      <c r="L537" s="12">
        <f>INDEX(products!$A$2:$G$49,MATCH(orders!$D537,products!$A$2:$A$49,0),MATCH(orders!L$1,products!$A$1:$G$1,0))</f>
        <v>4.7549999999999999</v>
      </c>
      <c r="M537" s="12">
        <f t="shared" si="24"/>
        <v>9.51</v>
      </c>
      <c r="N537" s="10" t="str">
        <f t="shared" si="25"/>
        <v>Liberica</v>
      </c>
      <c r="O537" s="10" t="str">
        <f t="shared" si="26"/>
        <v>Light</v>
      </c>
      <c r="P537" s="10" t="str">
        <f>_xlfn.XLOOKUP(Tableau1[[#This Row],[Customer ID]],customers!A$2:A$1001,customers!I$2:I$1001)</f>
        <v>No</v>
      </c>
    </row>
    <row r="538" spans="1:16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9" t="str">
        <f>_xlfn.XLOOKUP(orders!C538,customers!$A$2:$A$1001,customers!$B$2:$B$1001)</f>
        <v>Marja Urion</v>
      </c>
      <c r="G538" s="9" t="str">
        <f>IF(_xlfn.XLOOKUP(orders!C538,customers!$A$2:$A$1001,customers!$C$2:$C$1001,,,)=0,"",_xlfn.XLOOKUP(orders!C538,customers!$A$2:$A$1001,customers!$C$2:$C$1001,,,))</f>
        <v>murione5@alexa.com</v>
      </c>
      <c r="H538" s="9" t="str">
        <f>_xlfn.XLOOKUP(C538,customers!$A$2:$A$1001,customers!$G$2:$G$1001,"")</f>
        <v>Ireland</v>
      </c>
      <c r="I538" s="10" t="str">
        <f>INDEX(products!$A$2:$G$49,MATCH(orders!$D538,products!$A$2:$A$49,0),MATCH(orders!I$1,products!$A$1:$G$1,0))</f>
        <v>Rob</v>
      </c>
      <c r="J538" s="10" t="str">
        <f>INDEX(products!$A$2:$G$49,MATCH(orders!$D538,products!$A$2:$A$49,0),MATCH(orders!J$1,products!$A$1:$G$1,0))</f>
        <v>D</v>
      </c>
      <c r="K538" s="11">
        <f>INDEX(products!$A$2:$G$49,MATCH(orders!$D538,products!$A$2:$A$49,0),MATCH(orders!K$1,products!$A$1:$G$1,0))</f>
        <v>0.2</v>
      </c>
      <c r="L538" s="12">
        <f>INDEX(products!$A$2:$G$49,MATCH(orders!$D538,products!$A$2:$A$49,0),MATCH(orders!L$1,products!$A$1:$G$1,0))</f>
        <v>2.6849999999999996</v>
      </c>
      <c r="M538" s="12">
        <f t="shared" si="24"/>
        <v>8.0549999999999997</v>
      </c>
      <c r="N538" s="10" t="str">
        <f t="shared" si="25"/>
        <v>Robusta</v>
      </c>
      <c r="O538" s="10" t="str">
        <f t="shared" si="26"/>
        <v>Dark</v>
      </c>
      <c r="P538" s="10" t="str">
        <f>_xlfn.XLOOKUP(Tableau1[[#This Row],[Customer ID]],customers!A$2:A$1001,customers!I$2:I$1001)</f>
        <v>Yes</v>
      </c>
    </row>
    <row r="539" spans="1:16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9" t="str">
        <f>_xlfn.XLOOKUP(orders!C539,customers!$A$2:$A$1001,customers!$B$2:$B$1001)</f>
        <v>Hildegarde Brangan</v>
      </c>
      <c r="G539" s="9" t="str">
        <f>IF(_xlfn.XLOOKUP(orders!C539,customers!$A$2:$A$1001,customers!$C$2:$C$1001,,,)=0,"",_xlfn.XLOOKUP(orders!C539,customers!$A$2:$A$1001,customers!$C$2:$C$1001,,,))</f>
        <v>hbranganex@woothemes.com</v>
      </c>
      <c r="H539" s="9" t="str">
        <f>_xlfn.XLOOKUP(C539,customers!$A$2:$A$1001,customers!$G$2:$G$1001,"")</f>
        <v>United States</v>
      </c>
      <c r="I539" s="10" t="str">
        <f>INDEX(products!$A$2:$G$49,MATCH(orders!$D539,products!$A$2:$A$49,0),MATCH(orders!I$1,products!$A$1:$G$1,0))</f>
        <v>Exc</v>
      </c>
      <c r="J539" s="10" t="str">
        <f>INDEX(products!$A$2:$G$49,MATCH(orders!$D539,products!$A$2:$A$49,0),MATCH(orders!J$1,products!$A$1:$G$1,0))</f>
        <v>D</v>
      </c>
      <c r="K539" s="11">
        <f>INDEX(products!$A$2:$G$49,MATCH(orders!$D539,products!$A$2:$A$49,0),MATCH(orders!K$1,products!$A$1:$G$1,0))</f>
        <v>2.5</v>
      </c>
      <c r="L539" s="12">
        <f>INDEX(products!$A$2:$G$49,MATCH(orders!$D539,products!$A$2:$A$49,0),MATCH(orders!L$1,products!$A$1:$G$1,0))</f>
        <v>27.945</v>
      </c>
      <c r="M539" s="12">
        <f t="shared" si="24"/>
        <v>111.78</v>
      </c>
      <c r="N539" s="10" t="str">
        <f t="shared" si="25"/>
        <v>Excelsa</v>
      </c>
      <c r="O539" s="10" t="str">
        <f t="shared" si="26"/>
        <v>Dark</v>
      </c>
      <c r="P539" s="10" t="str">
        <f>_xlfn.XLOOKUP(Tableau1[[#This Row],[Customer ID]],customers!A$2:A$1001,customers!I$2:I$1001)</f>
        <v>Yes</v>
      </c>
    </row>
    <row r="540" spans="1:16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9" t="str">
        <f>_xlfn.XLOOKUP(orders!C540,customers!$A$2:$A$1001,customers!$B$2:$B$1001)</f>
        <v>Amii Gallyon</v>
      </c>
      <c r="G540" s="9" t="str">
        <f>IF(_xlfn.XLOOKUP(orders!C540,customers!$A$2:$A$1001,customers!$C$2:$C$1001,,,)=0,"",_xlfn.XLOOKUP(orders!C540,customers!$A$2:$A$1001,customers!$C$2:$C$1001,,,))</f>
        <v>agallyoney@engadget.com</v>
      </c>
      <c r="H540" s="9" t="str">
        <f>_xlfn.XLOOKUP(C540,customers!$A$2:$A$1001,customers!$G$2:$G$1001,"")</f>
        <v>United States</v>
      </c>
      <c r="I540" s="10" t="str">
        <f>INDEX(products!$A$2:$G$49,MATCH(orders!$D540,products!$A$2:$A$49,0),MATCH(orders!I$1,products!$A$1:$G$1,0))</f>
        <v>Rob</v>
      </c>
      <c r="J540" s="10" t="str">
        <f>INDEX(products!$A$2:$G$49,MATCH(orders!$D540,products!$A$2:$A$49,0),MATCH(orders!J$1,products!$A$1:$G$1,0))</f>
        <v>D</v>
      </c>
      <c r="K540" s="11">
        <f>INDEX(products!$A$2:$G$49,MATCH(orders!$D540,products!$A$2:$A$49,0),MATCH(orders!K$1,products!$A$1:$G$1,0))</f>
        <v>0.2</v>
      </c>
      <c r="L540" s="12">
        <f>INDEX(products!$A$2:$G$49,MATCH(orders!$D540,products!$A$2:$A$49,0),MATCH(orders!L$1,products!$A$1:$G$1,0))</f>
        <v>2.6849999999999996</v>
      </c>
      <c r="M540" s="12">
        <f t="shared" si="24"/>
        <v>10.739999999999998</v>
      </c>
      <c r="N540" s="10" t="str">
        <f t="shared" si="25"/>
        <v>Robusta</v>
      </c>
      <c r="O540" s="10" t="str">
        <f t="shared" si="26"/>
        <v>Dark</v>
      </c>
      <c r="P540" s="10" t="str">
        <f>_xlfn.XLOOKUP(Tableau1[[#This Row],[Customer ID]],customers!A$2:A$1001,customers!I$2:I$1001)</f>
        <v>Yes</v>
      </c>
    </row>
    <row r="541" spans="1:16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9" t="str">
        <f>_xlfn.XLOOKUP(orders!C541,customers!$A$2:$A$1001,customers!$B$2:$B$1001)</f>
        <v>Birgit Domange</v>
      </c>
      <c r="G541" s="9" t="str">
        <f>IF(_xlfn.XLOOKUP(orders!C541,customers!$A$2:$A$1001,customers!$C$2:$C$1001,,,)=0,"",_xlfn.XLOOKUP(orders!C541,customers!$A$2:$A$1001,customers!$C$2:$C$1001,,,))</f>
        <v>bdomangeez@yahoo.co.jp</v>
      </c>
      <c r="H541" s="9" t="str">
        <f>_xlfn.XLOOKUP(C541,customers!$A$2:$A$1001,customers!$G$2:$G$1001,"")</f>
        <v>United States</v>
      </c>
      <c r="I541" s="10" t="str">
        <f>INDEX(products!$A$2:$G$49,MATCH(orders!$D541,products!$A$2:$A$49,0),MATCH(orders!I$1,products!$A$1:$G$1,0))</f>
        <v>Rob</v>
      </c>
      <c r="J541" s="10" t="str">
        <f>INDEX(products!$A$2:$G$49,MATCH(orders!$D541,products!$A$2:$A$49,0),MATCH(orders!J$1,products!$A$1:$G$1,0))</f>
        <v>D</v>
      </c>
      <c r="K541" s="11">
        <f>INDEX(products!$A$2:$G$49,MATCH(orders!$D541,products!$A$2:$A$49,0),MATCH(orders!K$1,products!$A$1:$G$1,0))</f>
        <v>0.5</v>
      </c>
      <c r="L541" s="12">
        <f>INDEX(products!$A$2:$G$49,MATCH(orders!$D541,products!$A$2:$A$49,0),MATCH(orders!L$1,products!$A$1:$G$1,0))</f>
        <v>5.3699999999999992</v>
      </c>
      <c r="M541" s="12">
        <f t="shared" si="24"/>
        <v>26.849999999999994</v>
      </c>
      <c r="N541" s="10" t="str">
        <f t="shared" si="25"/>
        <v>Robusta</v>
      </c>
      <c r="O541" s="10" t="str">
        <f t="shared" si="26"/>
        <v>Dark</v>
      </c>
      <c r="P541" s="10" t="str">
        <f>_xlfn.XLOOKUP(Tableau1[[#This Row],[Customer ID]],customers!A$2:A$1001,customers!I$2:I$1001)</f>
        <v>No</v>
      </c>
    </row>
    <row r="542" spans="1:16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9" t="str">
        <f>_xlfn.XLOOKUP(orders!C542,customers!$A$2:$A$1001,customers!$B$2:$B$1001)</f>
        <v>Killian Osler</v>
      </c>
      <c r="G542" s="9" t="str">
        <f>IF(_xlfn.XLOOKUP(orders!C542,customers!$A$2:$A$1001,customers!$C$2:$C$1001,,,)=0,"",_xlfn.XLOOKUP(orders!C542,customers!$A$2:$A$1001,customers!$C$2:$C$1001,,,))</f>
        <v>koslerf0@gmpg.org</v>
      </c>
      <c r="H542" s="9" t="str">
        <f>_xlfn.XLOOKUP(C542,customers!$A$2:$A$1001,customers!$G$2:$G$1001,"")</f>
        <v>United States</v>
      </c>
      <c r="I542" s="10" t="str">
        <f>INDEX(products!$A$2:$G$49,MATCH(orders!$D542,products!$A$2:$A$49,0),MATCH(orders!I$1,products!$A$1:$G$1,0))</f>
        <v>Lib</v>
      </c>
      <c r="J542" s="10" t="str">
        <f>INDEX(products!$A$2:$G$49,MATCH(orders!$D542,products!$A$2:$A$49,0),MATCH(orders!J$1,products!$A$1:$G$1,0))</f>
        <v>L</v>
      </c>
      <c r="K542" s="11">
        <f>INDEX(products!$A$2:$G$49,MATCH(orders!$D542,products!$A$2:$A$49,0),MATCH(orders!K$1,products!$A$1:$G$1,0))</f>
        <v>1</v>
      </c>
      <c r="L542" s="12">
        <f>INDEX(products!$A$2:$G$49,MATCH(orders!$D542,products!$A$2:$A$49,0),MATCH(orders!L$1,products!$A$1:$G$1,0))</f>
        <v>15.85</v>
      </c>
      <c r="M542" s="12">
        <f t="shared" si="24"/>
        <v>63.4</v>
      </c>
      <c r="N542" s="10" t="str">
        <f t="shared" si="25"/>
        <v>Liberica</v>
      </c>
      <c r="O542" s="10" t="str">
        <f t="shared" si="26"/>
        <v>Light</v>
      </c>
      <c r="P542" s="10" t="str">
        <f>_xlfn.XLOOKUP(Tableau1[[#This Row],[Customer ID]],customers!A$2:A$1001,customers!I$2:I$1001)</f>
        <v>Yes</v>
      </c>
    </row>
    <row r="543" spans="1:16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9" t="str">
        <f>_xlfn.XLOOKUP(orders!C543,customers!$A$2:$A$1001,customers!$B$2:$B$1001)</f>
        <v>Lora Dukes</v>
      </c>
      <c r="G543" s="9" t="str">
        <f>IF(_xlfn.XLOOKUP(orders!C543,customers!$A$2:$A$1001,customers!$C$2:$C$1001,,,)=0,"",_xlfn.XLOOKUP(orders!C543,customers!$A$2:$A$1001,customers!$C$2:$C$1001,,,))</f>
        <v/>
      </c>
      <c r="H543" s="9" t="str">
        <f>_xlfn.XLOOKUP(C543,customers!$A$2:$A$1001,customers!$G$2:$G$1001,"")</f>
        <v>Ireland</v>
      </c>
      <c r="I543" s="10" t="str">
        <f>INDEX(products!$A$2:$G$49,MATCH(orders!$D543,products!$A$2:$A$49,0),MATCH(orders!I$1,products!$A$1:$G$1,0))</f>
        <v>Ara</v>
      </c>
      <c r="J543" s="10" t="str">
        <f>INDEX(products!$A$2:$G$49,MATCH(orders!$D543,products!$A$2:$A$49,0),MATCH(orders!J$1,products!$A$1:$G$1,0))</f>
        <v>D</v>
      </c>
      <c r="K543" s="11">
        <f>INDEX(products!$A$2:$G$49,MATCH(orders!$D543,products!$A$2:$A$49,0),MATCH(orders!K$1,products!$A$1:$G$1,0))</f>
        <v>2.5</v>
      </c>
      <c r="L543" s="12">
        <f>INDEX(products!$A$2:$G$49,MATCH(orders!$D543,products!$A$2:$A$49,0),MATCH(orders!L$1,products!$A$1:$G$1,0))</f>
        <v>22.884999999999998</v>
      </c>
      <c r="M543" s="12">
        <f t="shared" si="24"/>
        <v>22.884999999999998</v>
      </c>
      <c r="N543" s="10" t="str">
        <f t="shared" si="25"/>
        <v>Arabica</v>
      </c>
      <c r="O543" s="10" t="str">
        <f t="shared" si="26"/>
        <v>Dark</v>
      </c>
      <c r="P543" s="10" t="str">
        <f>_xlfn.XLOOKUP(Tableau1[[#This Row],[Customer ID]],customers!A$2:A$1001,customers!I$2:I$1001)</f>
        <v>Yes</v>
      </c>
    </row>
    <row r="544" spans="1:16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9" t="str">
        <f>_xlfn.XLOOKUP(orders!C544,customers!$A$2:$A$1001,customers!$B$2:$B$1001)</f>
        <v>Zack Pellett</v>
      </c>
      <c r="G544" s="9" t="str">
        <f>IF(_xlfn.XLOOKUP(orders!C544,customers!$A$2:$A$1001,customers!$C$2:$C$1001,,,)=0,"",_xlfn.XLOOKUP(orders!C544,customers!$A$2:$A$1001,customers!$C$2:$C$1001,,,))</f>
        <v>zpellettf2@dailymotion.com</v>
      </c>
      <c r="H544" s="9" t="str">
        <f>_xlfn.XLOOKUP(C544,customers!$A$2:$A$1001,customers!$G$2:$G$1001,"")</f>
        <v>United States</v>
      </c>
      <c r="I544" s="10" t="str">
        <f>INDEX(products!$A$2:$G$49,MATCH(orders!$D544,products!$A$2:$A$49,0),MATCH(orders!I$1,products!$A$1:$G$1,0))</f>
        <v>Ara</v>
      </c>
      <c r="J544" s="10" t="str">
        <f>INDEX(products!$A$2:$G$49,MATCH(orders!$D544,products!$A$2:$A$49,0),MATCH(orders!J$1,products!$A$1:$G$1,0))</f>
        <v>M</v>
      </c>
      <c r="K544" s="11">
        <f>INDEX(products!$A$2:$G$49,MATCH(orders!$D544,products!$A$2:$A$49,0),MATCH(orders!K$1,products!$A$1:$G$1,0))</f>
        <v>2.5</v>
      </c>
      <c r="L544" s="12">
        <f>INDEX(products!$A$2:$G$49,MATCH(orders!$D544,products!$A$2:$A$49,0),MATCH(orders!L$1,products!$A$1:$G$1,0))</f>
        <v>25.874999999999996</v>
      </c>
      <c r="M544" s="12">
        <f t="shared" si="24"/>
        <v>103.49999999999999</v>
      </c>
      <c r="N544" s="10" t="str">
        <f t="shared" si="25"/>
        <v>Arabica</v>
      </c>
      <c r="O544" s="10" t="str">
        <f t="shared" si="26"/>
        <v>Medium</v>
      </c>
      <c r="P544" s="10" t="str">
        <f>_xlfn.XLOOKUP(Tableau1[[#This Row],[Customer ID]],customers!A$2:A$1001,customers!I$2:I$1001)</f>
        <v>No</v>
      </c>
    </row>
    <row r="545" spans="1:16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9" t="str">
        <f>_xlfn.XLOOKUP(orders!C545,customers!$A$2:$A$1001,customers!$B$2:$B$1001)</f>
        <v>Ilaire Sprakes</v>
      </c>
      <c r="G545" s="9" t="str">
        <f>IF(_xlfn.XLOOKUP(orders!C545,customers!$A$2:$A$1001,customers!$C$2:$C$1001,,,)=0,"",_xlfn.XLOOKUP(orders!C545,customers!$A$2:$A$1001,customers!$C$2:$C$1001,,,))</f>
        <v>isprakesf3@spiegel.de</v>
      </c>
      <c r="H545" s="9" t="str">
        <f>_xlfn.XLOOKUP(C545,customers!$A$2:$A$1001,customers!$G$2:$G$1001,"")</f>
        <v>United States</v>
      </c>
      <c r="I545" s="10" t="str">
        <f>INDEX(products!$A$2:$G$49,MATCH(orders!$D545,products!$A$2:$A$49,0),MATCH(orders!I$1,products!$A$1:$G$1,0))</f>
        <v>Rob</v>
      </c>
      <c r="J545" s="10" t="str">
        <f>INDEX(products!$A$2:$G$49,MATCH(orders!$D545,products!$A$2:$A$49,0),MATCH(orders!J$1,products!$A$1:$G$1,0))</f>
        <v>L</v>
      </c>
      <c r="K545" s="11">
        <f>INDEX(products!$A$2:$G$49,MATCH(orders!$D545,products!$A$2:$A$49,0),MATCH(orders!K$1,products!$A$1:$G$1,0))</f>
        <v>2.5</v>
      </c>
      <c r="L545" s="12">
        <f>INDEX(products!$A$2:$G$49,MATCH(orders!$D545,products!$A$2:$A$49,0),MATCH(orders!L$1,products!$A$1:$G$1,0))</f>
        <v>27.484999999999996</v>
      </c>
      <c r="M545" s="12">
        <f t="shared" si="24"/>
        <v>54.969999999999992</v>
      </c>
      <c r="N545" s="10" t="str">
        <f t="shared" si="25"/>
        <v>Robusta</v>
      </c>
      <c r="O545" s="10" t="str">
        <f t="shared" si="26"/>
        <v>Light</v>
      </c>
      <c r="P545" s="10" t="str">
        <f>_xlfn.XLOOKUP(Tableau1[[#This Row],[Customer ID]],customers!A$2:A$1001,customers!I$2:I$1001)</f>
        <v>No</v>
      </c>
    </row>
    <row r="546" spans="1:16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9" t="str">
        <f>_xlfn.XLOOKUP(orders!C546,customers!$A$2:$A$1001,customers!$B$2:$B$1001)</f>
        <v>Heda Fromant</v>
      </c>
      <c r="G546" s="9" t="str">
        <f>IF(_xlfn.XLOOKUP(orders!C546,customers!$A$2:$A$1001,customers!$C$2:$C$1001,,,)=0,"",_xlfn.XLOOKUP(orders!C546,customers!$A$2:$A$1001,customers!$C$2:$C$1001,,,))</f>
        <v>hfromantf4@ucsd.edu</v>
      </c>
      <c r="H546" s="9" t="str">
        <f>_xlfn.XLOOKUP(C546,customers!$A$2:$A$1001,customers!$G$2:$G$1001,"")</f>
        <v>United States</v>
      </c>
      <c r="I546" s="10" t="str">
        <f>INDEX(products!$A$2:$G$49,MATCH(orders!$D546,products!$A$2:$A$49,0),MATCH(orders!I$1,products!$A$1:$G$1,0))</f>
        <v>Ara</v>
      </c>
      <c r="J546" s="10" t="str">
        <f>INDEX(products!$A$2:$G$49,MATCH(orders!$D546,products!$A$2:$A$49,0),MATCH(orders!J$1,products!$A$1:$G$1,0))</f>
        <v>L</v>
      </c>
      <c r="K546" s="11">
        <f>INDEX(products!$A$2:$G$49,MATCH(orders!$D546,products!$A$2:$A$49,0),MATCH(orders!K$1,products!$A$1:$G$1,0))</f>
        <v>0.5</v>
      </c>
      <c r="L546" s="12">
        <f>INDEX(products!$A$2:$G$49,MATCH(orders!$D546,products!$A$2:$A$49,0),MATCH(orders!L$1,products!$A$1:$G$1,0))</f>
        <v>7.77</v>
      </c>
      <c r="M546" s="12">
        <f t="shared" si="24"/>
        <v>15.54</v>
      </c>
      <c r="N546" s="10" t="str">
        <f t="shared" si="25"/>
        <v>Arabica</v>
      </c>
      <c r="O546" s="10" t="str">
        <f t="shared" si="26"/>
        <v>Light</v>
      </c>
      <c r="P546" s="10" t="str">
        <f>_xlfn.XLOOKUP(Tableau1[[#This Row],[Customer ID]],customers!A$2:A$1001,customers!I$2:I$1001)</f>
        <v>No</v>
      </c>
    </row>
    <row r="547" spans="1:16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9" t="str">
        <f>_xlfn.XLOOKUP(orders!C547,customers!$A$2:$A$1001,customers!$B$2:$B$1001)</f>
        <v>Rufus Flear</v>
      </c>
      <c r="G547" s="9" t="str">
        <f>IF(_xlfn.XLOOKUP(orders!C547,customers!$A$2:$A$1001,customers!$C$2:$C$1001,,,)=0,"",_xlfn.XLOOKUP(orders!C547,customers!$A$2:$A$1001,customers!$C$2:$C$1001,,,))</f>
        <v>rflearf5@artisteer.com</v>
      </c>
      <c r="H547" s="9" t="str">
        <f>_xlfn.XLOOKUP(C547,customers!$A$2:$A$1001,customers!$G$2:$G$1001,"")</f>
        <v>United Kingdom</v>
      </c>
      <c r="I547" s="10" t="str">
        <f>INDEX(products!$A$2:$G$49,MATCH(orders!$D547,products!$A$2:$A$49,0),MATCH(orders!I$1,products!$A$1:$G$1,0))</f>
        <v>Lib</v>
      </c>
      <c r="J547" s="10" t="str">
        <f>INDEX(products!$A$2:$G$49,MATCH(orders!$D547,products!$A$2:$A$49,0),MATCH(orders!J$1,products!$A$1:$G$1,0))</f>
        <v>D</v>
      </c>
      <c r="K547" s="11">
        <f>INDEX(products!$A$2:$G$49,MATCH(orders!$D547,products!$A$2:$A$49,0),MATCH(orders!K$1,products!$A$1:$G$1,0))</f>
        <v>0.2</v>
      </c>
      <c r="L547" s="12">
        <f>INDEX(products!$A$2:$G$49,MATCH(orders!$D547,products!$A$2:$A$49,0),MATCH(orders!L$1,products!$A$1:$G$1,0))</f>
        <v>3.8849999999999998</v>
      </c>
      <c r="M547" s="12">
        <f t="shared" si="24"/>
        <v>15.54</v>
      </c>
      <c r="N547" s="10" t="str">
        <f t="shared" si="25"/>
        <v>Liberica</v>
      </c>
      <c r="O547" s="10" t="str">
        <f t="shared" si="26"/>
        <v>Dark</v>
      </c>
      <c r="P547" s="10" t="str">
        <f>_xlfn.XLOOKUP(Tableau1[[#This Row],[Customer ID]],customers!A$2:A$1001,customers!I$2:I$1001)</f>
        <v>No</v>
      </c>
    </row>
    <row r="548" spans="1:16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9" t="str">
        <f>_xlfn.XLOOKUP(orders!C548,customers!$A$2:$A$1001,customers!$B$2:$B$1001)</f>
        <v>Dom Milella</v>
      </c>
      <c r="G548" s="9" t="str">
        <f>IF(_xlfn.XLOOKUP(orders!C548,customers!$A$2:$A$1001,customers!$C$2:$C$1001,,,)=0,"",_xlfn.XLOOKUP(orders!C548,customers!$A$2:$A$1001,customers!$C$2:$C$1001,,,))</f>
        <v/>
      </c>
      <c r="H548" s="9" t="str">
        <f>_xlfn.XLOOKUP(C548,customers!$A$2:$A$1001,customers!$G$2:$G$1001,"")</f>
        <v>Ireland</v>
      </c>
      <c r="I548" s="10" t="str">
        <f>INDEX(products!$A$2:$G$49,MATCH(orders!$D548,products!$A$2:$A$49,0),MATCH(orders!I$1,products!$A$1:$G$1,0))</f>
        <v>Exc</v>
      </c>
      <c r="J548" s="10" t="str">
        <f>INDEX(products!$A$2:$G$49,MATCH(orders!$D548,products!$A$2:$A$49,0),MATCH(orders!J$1,products!$A$1:$G$1,0))</f>
        <v>D</v>
      </c>
      <c r="K548" s="11">
        <f>INDEX(products!$A$2:$G$49,MATCH(orders!$D548,products!$A$2:$A$49,0),MATCH(orders!K$1,products!$A$1:$G$1,0))</f>
        <v>2.5</v>
      </c>
      <c r="L548" s="12">
        <f>INDEX(products!$A$2:$G$49,MATCH(orders!$D548,products!$A$2:$A$49,0),MATCH(orders!L$1,products!$A$1:$G$1,0))</f>
        <v>27.945</v>
      </c>
      <c r="M548" s="12">
        <f t="shared" si="24"/>
        <v>83.835000000000008</v>
      </c>
      <c r="N548" s="10" t="str">
        <f t="shared" si="25"/>
        <v>Excelsa</v>
      </c>
      <c r="O548" s="10" t="str">
        <f t="shared" si="26"/>
        <v>Dark</v>
      </c>
      <c r="P548" s="10" t="str">
        <f>_xlfn.XLOOKUP(Tableau1[[#This Row],[Customer ID]],customers!A$2:A$1001,customers!I$2:I$1001)</f>
        <v>No</v>
      </c>
    </row>
    <row r="549" spans="1:16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9" t="str">
        <f>_xlfn.XLOOKUP(orders!C549,customers!$A$2:$A$1001,customers!$B$2:$B$1001)</f>
        <v>Wilek Lightollers</v>
      </c>
      <c r="G549" s="9" t="str">
        <f>IF(_xlfn.XLOOKUP(orders!C549,customers!$A$2:$A$1001,customers!$C$2:$C$1001,,,)=0,"",_xlfn.XLOOKUP(orders!C549,customers!$A$2:$A$1001,customers!$C$2:$C$1001,,,))</f>
        <v>wlightollersf9@baidu.com</v>
      </c>
      <c r="H549" s="9" t="str">
        <f>_xlfn.XLOOKUP(C549,customers!$A$2:$A$1001,customers!$G$2:$G$1001,"")</f>
        <v>United States</v>
      </c>
      <c r="I549" s="10" t="str">
        <f>INDEX(products!$A$2:$G$49,MATCH(orders!$D549,products!$A$2:$A$49,0),MATCH(orders!I$1,products!$A$1:$G$1,0))</f>
        <v>Rob</v>
      </c>
      <c r="J549" s="10" t="str">
        <f>INDEX(products!$A$2:$G$49,MATCH(orders!$D549,products!$A$2:$A$49,0),MATCH(orders!J$1,products!$A$1:$G$1,0))</f>
        <v>L</v>
      </c>
      <c r="K549" s="11">
        <f>INDEX(products!$A$2:$G$49,MATCH(orders!$D549,products!$A$2:$A$49,0),MATCH(orders!K$1,products!$A$1:$G$1,0))</f>
        <v>0.2</v>
      </c>
      <c r="L549" s="12">
        <f>INDEX(products!$A$2:$G$49,MATCH(orders!$D549,products!$A$2:$A$49,0),MATCH(orders!L$1,products!$A$1:$G$1,0))</f>
        <v>3.5849999999999995</v>
      </c>
      <c r="M549" s="12">
        <f t="shared" si="24"/>
        <v>10.754999999999999</v>
      </c>
      <c r="N549" s="10" t="str">
        <f t="shared" si="25"/>
        <v>Robusta</v>
      </c>
      <c r="O549" s="10" t="str">
        <f t="shared" si="26"/>
        <v>Light</v>
      </c>
      <c r="P549" s="10" t="str">
        <f>_xlfn.XLOOKUP(Tableau1[[#This Row],[Customer ID]],customers!A$2:A$1001,customers!I$2:I$1001)</f>
        <v>Yes</v>
      </c>
    </row>
    <row r="550" spans="1:16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9" t="str">
        <f>_xlfn.XLOOKUP(orders!C550,customers!$A$2:$A$1001,customers!$B$2:$B$1001)</f>
        <v>Bette-ann Munden</v>
      </c>
      <c r="G550" s="9" t="str">
        <f>IF(_xlfn.XLOOKUP(orders!C550,customers!$A$2:$A$1001,customers!$C$2:$C$1001,,,)=0,"",_xlfn.XLOOKUP(orders!C550,customers!$A$2:$A$1001,customers!$C$2:$C$1001,,,))</f>
        <v>bmundenf8@elpais.com</v>
      </c>
      <c r="H550" s="9" t="str">
        <f>_xlfn.XLOOKUP(C550,customers!$A$2:$A$1001,customers!$G$2:$G$1001,"")</f>
        <v>United States</v>
      </c>
      <c r="I550" s="10" t="str">
        <f>INDEX(products!$A$2:$G$49,MATCH(orders!$D550,products!$A$2:$A$49,0),MATCH(orders!I$1,products!$A$1:$G$1,0))</f>
        <v>Exc</v>
      </c>
      <c r="J550" s="10" t="str">
        <f>INDEX(products!$A$2:$G$49,MATCH(orders!$D550,products!$A$2:$A$49,0),MATCH(orders!J$1,products!$A$1:$G$1,0))</f>
        <v>L</v>
      </c>
      <c r="K550" s="11">
        <f>INDEX(products!$A$2:$G$49,MATCH(orders!$D550,products!$A$2:$A$49,0),MATCH(orders!K$1,products!$A$1:$G$1,0))</f>
        <v>0.2</v>
      </c>
      <c r="L550" s="12">
        <f>INDEX(products!$A$2:$G$49,MATCH(orders!$D550,products!$A$2:$A$49,0),MATCH(orders!L$1,products!$A$1:$G$1,0))</f>
        <v>4.4550000000000001</v>
      </c>
      <c r="M550" s="12">
        <f t="shared" si="24"/>
        <v>13.365</v>
      </c>
      <c r="N550" s="10" t="str">
        <f t="shared" si="25"/>
        <v>Excelsa</v>
      </c>
      <c r="O550" s="10" t="str">
        <f t="shared" si="26"/>
        <v>Light</v>
      </c>
      <c r="P550" s="10" t="str">
        <f>_xlfn.XLOOKUP(Tableau1[[#This Row],[Customer ID]],customers!A$2:A$1001,customers!I$2:I$1001)</f>
        <v>Yes</v>
      </c>
    </row>
    <row r="551" spans="1:16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9" t="str">
        <f>_xlfn.XLOOKUP(orders!C551,customers!$A$2:$A$1001,customers!$B$2:$B$1001)</f>
        <v>Wilek Lightollers</v>
      </c>
      <c r="G551" s="9" t="str">
        <f>IF(_xlfn.XLOOKUP(orders!C551,customers!$A$2:$A$1001,customers!$C$2:$C$1001,,,)=0,"",_xlfn.XLOOKUP(orders!C551,customers!$A$2:$A$1001,customers!$C$2:$C$1001,,,))</f>
        <v>wlightollersf9@baidu.com</v>
      </c>
      <c r="H551" s="9" t="str">
        <f>_xlfn.XLOOKUP(C551,customers!$A$2:$A$1001,customers!$G$2:$G$1001,"")</f>
        <v>United States</v>
      </c>
      <c r="I551" s="10" t="str">
        <f>INDEX(products!$A$2:$G$49,MATCH(orders!$D551,products!$A$2:$A$49,0),MATCH(orders!I$1,products!$A$1:$G$1,0))</f>
        <v>Exc</v>
      </c>
      <c r="J551" s="10" t="str">
        <f>INDEX(products!$A$2:$G$49,MATCH(orders!$D551,products!$A$2:$A$49,0),MATCH(orders!J$1,products!$A$1:$G$1,0))</f>
        <v>L</v>
      </c>
      <c r="K551" s="11">
        <f>INDEX(products!$A$2:$G$49,MATCH(orders!$D551,products!$A$2:$A$49,0),MATCH(orders!K$1,products!$A$1:$G$1,0))</f>
        <v>0.2</v>
      </c>
      <c r="L551" s="12">
        <f>INDEX(products!$A$2:$G$49,MATCH(orders!$D551,products!$A$2:$A$49,0),MATCH(orders!L$1,products!$A$1:$G$1,0))</f>
        <v>4.4550000000000001</v>
      </c>
      <c r="M551" s="12">
        <f t="shared" si="24"/>
        <v>17.82</v>
      </c>
      <c r="N551" s="10" t="str">
        <f t="shared" si="25"/>
        <v>Excelsa</v>
      </c>
      <c r="O551" s="10" t="str">
        <f t="shared" si="26"/>
        <v>Light</v>
      </c>
      <c r="P551" s="10" t="str">
        <f>_xlfn.XLOOKUP(Tableau1[[#This Row],[Customer ID]],customers!A$2:A$1001,customers!I$2:I$1001)</f>
        <v>Yes</v>
      </c>
    </row>
    <row r="552" spans="1:16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9" t="str">
        <f>_xlfn.XLOOKUP(orders!C552,customers!$A$2:$A$1001,customers!$B$2:$B$1001)</f>
        <v>Nick Brakespear</v>
      </c>
      <c r="G552" s="9" t="str">
        <f>IF(_xlfn.XLOOKUP(orders!C552,customers!$A$2:$A$1001,customers!$C$2:$C$1001,,,)=0,"",_xlfn.XLOOKUP(orders!C552,customers!$A$2:$A$1001,customers!$C$2:$C$1001,,,))</f>
        <v>nbrakespearfa@rediff.com</v>
      </c>
      <c r="H552" s="9" t="str">
        <f>_xlfn.XLOOKUP(C552,customers!$A$2:$A$1001,customers!$G$2:$G$1001,"")</f>
        <v>United States</v>
      </c>
      <c r="I552" s="10" t="str">
        <f>INDEX(products!$A$2:$G$49,MATCH(orders!$D552,products!$A$2:$A$49,0),MATCH(orders!I$1,products!$A$1:$G$1,0))</f>
        <v>Lib</v>
      </c>
      <c r="J552" s="10" t="str">
        <f>INDEX(products!$A$2:$G$49,MATCH(orders!$D552,products!$A$2:$A$49,0),MATCH(orders!J$1,products!$A$1:$G$1,0))</f>
        <v>D</v>
      </c>
      <c r="K552" s="11">
        <f>INDEX(products!$A$2:$G$49,MATCH(orders!$D552,products!$A$2:$A$49,0),MATCH(orders!K$1,products!$A$1:$G$1,0))</f>
        <v>0.2</v>
      </c>
      <c r="L552" s="12">
        <f>INDEX(products!$A$2:$G$49,MATCH(orders!$D552,products!$A$2:$A$49,0),MATCH(orders!L$1,products!$A$1:$G$1,0))</f>
        <v>3.8849999999999998</v>
      </c>
      <c r="M552" s="12">
        <f t="shared" si="24"/>
        <v>23.31</v>
      </c>
      <c r="N552" s="10" t="str">
        <f t="shared" si="25"/>
        <v>Liberica</v>
      </c>
      <c r="O552" s="10" t="str">
        <f t="shared" si="26"/>
        <v>Dark</v>
      </c>
      <c r="P552" s="10" t="str">
        <f>_xlfn.XLOOKUP(Tableau1[[#This Row],[Customer ID]],customers!A$2:A$1001,customers!I$2:I$1001)</f>
        <v>Yes</v>
      </c>
    </row>
    <row r="553" spans="1:16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9" t="str">
        <f>_xlfn.XLOOKUP(orders!C553,customers!$A$2:$A$1001,customers!$B$2:$B$1001)</f>
        <v>Malynda Glawsop</v>
      </c>
      <c r="G553" s="9" t="str">
        <f>IF(_xlfn.XLOOKUP(orders!C553,customers!$A$2:$A$1001,customers!$C$2:$C$1001,,,)=0,"",_xlfn.XLOOKUP(orders!C553,customers!$A$2:$A$1001,customers!$C$2:$C$1001,,,))</f>
        <v>mglawsopfb@reverbnation.com</v>
      </c>
      <c r="H553" s="9" t="str">
        <f>_xlfn.XLOOKUP(C553,customers!$A$2:$A$1001,customers!$G$2:$G$1001,"")</f>
        <v>United States</v>
      </c>
      <c r="I553" s="10" t="str">
        <f>INDEX(products!$A$2:$G$49,MATCH(orders!$D553,products!$A$2:$A$49,0),MATCH(orders!I$1,products!$A$1:$G$1,0))</f>
        <v>Exc</v>
      </c>
      <c r="J553" s="10" t="str">
        <f>INDEX(products!$A$2:$G$49,MATCH(orders!$D553,products!$A$2:$A$49,0),MATCH(orders!J$1,products!$A$1:$G$1,0))</f>
        <v>D</v>
      </c>
      <c r="K553" s="11">
        <f>INDEX(products!$A$2:$G$49,MATCH(orders!$D553,products!$A$2:$A$49,0),MATCH(orders!K$1,products!$A$1:$G$1,0))</f>
        <v>0.2</v>
      </c>
      <c r="L553" s="12">
        <f>INDEX(products!$A$2:$G$49,MATCH(orders!$D553,products!$A$2:$A$49,0),MATCH(orders!L$1,products!$A$1:$G$1,0))</f>
        <v>3.645</v>
      </c>
      <c r="M553" s="12">
        <f t="shared" si="24"/>
        <v>7.29</v>
      </c>
      <c r="N553" s="10" t="str">
        <f t="shared" si="25"/>
        <v>Excelsa</v>
      </c>
      <c r="O553" s="10" t="str">
        <f t="shared" si="26"/>
        <v>Dark</v>
      </c>
      <c r="P553" s="10" t="str">
        <f>_xlfn.XLOOKUP(Tableau1[[#This Row],[Customer ID]],customers!A$2:A$1001,customers!I$2:I$1001)</f>
        <v>No</v>
      </c>
    </row>
    <row r="554" spans="1:16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9" t="str">
        <f>_xlfn.XLOOKUP(orders!C554,customers!$A$2:$A$1001,customers!$B$2:$B$1001)</f>
        <v>Granville Alberts</v>
      </c>
      <c r="G554" s="9" t="str">
        <f>IF(_xlfn.XLOOKUP(orders!C554,customers!$A$2:$A$1001,customers!$C$2:$C$1001,,,)=0,"",_xlfn.XLOOKUP(orders!C554,customers!$A$2:$A$1001,customers!$C$2:$C$1001,,,))</f>
        <v>galbertsfc@etsy.com</v>
      </c>
      <c r="H554" s="9" t="str">
        <f>_xlfn.XLOOKUP(C554,customers!$A$2:$A$1001,customers!$G$2:$G$1001,"")</f>
        <v>United Kingdom</v>
      </c>
      <c r="I554" s="10" t="str">
        <f>INDEX(products!$A$2:$G$49,MATCH(orders!$D554,products!$A$2:$A$49,0),MATCH(orders!I$1,products!$A$1:$G$1,0))</f>
        <v>Exc</v>
      </c>
      <c r="J554" s="10" t="str">
        <f>INDEX(products!$A$2:$G$49,MATCH(orders!$D554,products!$A$2:$A$49,0),MATCH(orders!J$1,products!$A$1:$G$1,0))</f>
        <v>L</v>
      </c>
      <c r="K554" s="11">
        <f>INDEX(products!$A$2:$G$49,MATCH(orders!$D554,products!$A$2:$A$49,0),MATCH(orders!K$1,products!$A$1:$G$1,0))</f>
        <v>0.2</v>
      </c>
      <c r="L554" s="12">
        <f>INDEX(products!$A$2:$G$49,MATCH(orders!$D554,products!$A$2:$A$49,0),MATCH(orders!L$1,products!$A$1:$G$1,0))</f>
        <v>4.4550000000000001</v>
      </c>
      <c r="M554" s="12">
        <f t="shared" si="24"/>
        <v>17.82</v>
      </c>
      <c r="N554" s="10" t="str">
        <f t="shared" si="25"/>
        <v>Excelsa</v>
      </c>
      <c r="O554" s="10" t="str">
        <f t="shared" si="26"/>
        <v>Light</v>
      </c>
      <c r="P554" s="10" t="str">
        <f>_xlfn.XLOOKUP(Tableau1[[#This Row],[Customer ID]],customers!A$2:A$1001,customers!I$2:I$1001)</f>
        <v>Yes</v>
      </c>
    </row>
    <row r="555" spans="1:16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9" t="str">
        <f>_xlfn.XLOOKUP(orders!C555,customers!$A$2:$A$1001,customers!$B$2:$B$1001)</f>
        <v>Vasily Polglase</v>
      </c>
      <c r="G555" s="9" t="str">
        <f>IF(_xlfn.XLOOKUP(orders!C555,customers!$A$2:$A$1001,customers!$C$2:$C$1001,,,)=0,"",_xlfn.XLOOKUP(orders!C555,customers!$A$2:$A$1001,customers!$C$2:$C$1001,,,))</f>
        <v>vpolglasefd@about.me</v>
      </c>
      <c r="H555" s="9" t="str">
        <f>_xlfn.XLOOKUP(C555,customers!$A$2:$A$1001,customers!$G$2:$G$1001,"")</f>
        <v>United States</v>
      </c>
      <c r="I555" s="10" t="str">
        <f>INDEX(products!$A$2:$G$49,MATCH(orders!$D555,products!$A$2:$A$49,0),MATCH(orders!I$1,products!$A$1:$G$1,0))</f>
        <v>Exc</v>
      </c>
      <c r="J555" s="10" t="str">
        <f>INDEX(products!$A$2:$G$49,MATCH(orders!$D555,products!$A$2:$A$49,0),MATCH(orders!J$1,products!$A$1:$G$1,0))</f>
        <v>M</v>
      </c>
      <c r="K555" s="11">
        <f>INDEX(products!$A$2:$G$49,MATCH(orders!$D555,products!$A$2:$A$49,0),MATCH(orders!K$1,products!$A$1:$G$1,0))</f>
        <v>1</v>
      </c>
      <c r="L555" s="12">
        <f>INDEX(products!$A$2:$G$49,MATCH(orders!$D555,products!$A$2:$A$49,0),MATCH(orders!L$1,products!$A$1:$G$1,0))</f>
        <v>13.75</v>
      </c>
      <c r="M555" s="12">
        <f t="shared" si="24"/>
        <v>68.75</v>
      </c>
      <c r="N555" s="10" t="str">
        <f t="shared" si="25"/>
        <v>Excelsa</v>
      </c>
      <c r="O555" s="10" t="str">
        <f t="shared" si="26"/>
        <v>Medium</v>
      </c>
      <c r="P555" s="10" t="str">
        <f>_xlfn.XLOOKUP(Tableau1[[#This Row],[Customer ID]],customers!A$2:A$1001,customers!I$2:I$1001)</f>
        <v>No</v>
      </c>
    </row>
    <row r="556" spans="1:16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9" t="str">
        <f>_xlfn.XLOOKUP(orders!C556,customers!$A$2:$A$1001,customers!$B$2:$B$1001)</f>
        <v>Madelaine Sharples</v>
      </c>
      <c r="G556" s="9" t="str">
        <f>IF(_xlfn.XLOOKUP(orders!C556,customers!$A$2:$A$1001,customers!$C$2:$C$1001,,,)=0,"",_xlfn.XLOOKUP(orders!C556,customers!$A$2:$A$1001,customers!$C$2:$C$1001,,,))</f>
        <v/>
      </c>
      <c r="H556" s="9" t="str">
        <f>_xlfn.XLOOKUP(C556,customers!$A$2:$A$1001,customers!$G$2:$G$1001,"")</f>
        <v>United Kingdom</v>
      </c>
      <c r="I556" s="10" t="str">
        <f>INDEX(products!$A$2:$G$49,MATCH(orders!$D556,products!$A$2:$A$49,0),MATCH(orders!I$1,products!$A$1:$G$1,0))</f>
        <v>Rob</v>
      </c>
      <c r="J556" s="10" t="str">
        <f>INDEX(products!$A$2:$G$49,MATCH(orders!$D556,products!$A$2:$A$49,0),MATCH(orders!J$1,products!$A$1:$G$1,0))</f>
        <v>L</v>
      </c>
      <c r="K556" s="11">
        <f>INDEX(products!$A$2:$G$49,MATCH(orders!$D556,products!$A$2:$A$49,0),MATCH(orders!K$1,products!$A$1:$G$1,0))</f>
        <v>2.5</v>
      </c>
      <c r="L556" s="12">
        <f>INDEX(products!$A$2:$G$49,MATCH(orders!$D556,products!$A$2:$A$49,0),MATCH(orders!L$1,products!$A$1:$G$1,0))</f>
        <v>27.484999999999996</v>
      </c>
      <c r="M556" s="12">
        <f t="shared" si="24"/>
        <v>54.969999999999992</v>
      </c>
      <c r="N556" s="10" t="str">
        <f t="shared" si="25"/>
        <v>Robusta</v>
      </c>
      <c r="O556" s="10" t="str">
        <f t="shared" si="26"/>
        <v>Light</v>
      </c>
      <c r="P556" s="10" t="str">
        <f>_xlfn.XLOOKUP(Tableau1[[#This Row],[Customer ID]],customers!A$2:A$1001,customers!I$2:I$1001)</f>
        <v>Yes</v>
      </c>
    </row>
    <row r="557" spans="1:16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9" t="str">
        <f>_xlfn.XLOOKUP(orders!C557,customers!$A$2:$A$1001,customers!$B$2:$B$1001)</f>
        <v>Sigfrid Busch</v>
      </c>
      <c r="G557" s="9" t="str">
        <f>IF(_xlfn.XLOOKUP(orders!C557,customers!$A$2:$A$1001,customers!$C$2:$C$1001,,,)=0,"",_xlfn.XLOOKUP(orders!C557,customers!$A$2:$A$1001,customers!$C$2:$C$1001,,,))</f>
        <v>sbuschff@so-net.ne.jp</v>
      </c>
      <c r="H557" s="9" t="str">
        <f>_xlfn.XLOOKUP(C557,customers!$A$2:$A$1001,customers!$G$2:$G$1001,"")</f>
        <v>Ireland</v>
      </c>
      <c r="I557" s="10" t="str">
        <f>INDEX(products!$A$2:$G$49,MATCH(orders!$D557,products!$A$2:$A$49,0),MATCH(orders!I$1,products!$A$1:$G$1,0))</f>
        <v>Exc</v>
      </c>
      <c r="J557" s="10" t="str">
        <f>INDEX(products!$A$2:$G$49,MATCH(orders!$D557,products!$A$2:$A$49,0),MATCH(orders!J$1,products!$A$1:$G$1,0))</f>
        <v>M</v>
      </c>
      <c r="K557" s="11">
        <f>INDEX(products!$A$2:$G$49,MATCH(orders!$D557,products!$A$2:$A$49,0),MATCH(orders!K$1,products!$A$1:$G$1,0))</f>
        <v>1</v>
      </c>
      <c r="L557" s="12">
        <f>INDEX(products!$A$2:$G$49,MATCH(orders!$D557,products!$A$2:$A$49,0),MATCH(orders!L$1,products!$A$1:$G$1,0))</f>
        <v>13.75</v>
      </c>
      <c r="M557" s="12">
        <f t="shared" si="24"/>
        <v>82.5</v>
      </c>
      <c r="N557" s="10" t="str">
        <f t="shared" si="25"/>
        <v>Excelsa</v>
      </c>
      <c r="O557" s="10" t="str">
        <f t="shared" si="26"/>
        <v>Medium</v>
      </c>
      <c r="P557" s="10" t="str">
        <f>_xlfn.XLOOKUP(Tableau1[[#This Row],[Customer ID]],customers!A$2:A$1001,customers!I$2:I$1001)</f>
        <v>No</v>
      </c>
    </row>
    <row r="558" spans="1:16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9" t="str">
        <f>_xlfn.XLOOKUP(orders!C558,customers!$A$2:$A$1001,customers!$B$2:$B$1001)</f>
        <v>Cissiee Raisbeck</v>
      </c>
      <c r="G558" s="9" t="str">
        <f>IF(_xlfn.XLOOKUP(orders!C558,customers!$A$2:$A$1001,customers!$C$2:$C$1001,,,)=0,"",_xlfn.XLOOKUP(orders!C558,customers!$A$2:$A$1001,customers!$C$2:$C$1001,,,))</f>
        <v>craisbeckfg@webnode.com</v>
      </c>
      <c r="H558" s="9" t="str">
        <f>_xlfn.XLOOKUP(C558,customers!$A$2:$A$1001,customers!$G$2:$G$1001,"")</f>
        <v>United States</v>
      </c>
      <c r="I558" s="10" t="str">
        <f>INDEX(products!$A$2:$G$49,MATCH(orders!$D558,products!$A$2:$A$49,0),MATCH(orders!I$1,products!$A$1:$G$1,0))</f>
        <v>Lib</v>
      </c>
      <c r="J558" s="10" t="str">
        <f>INDEX(products!$A$2:$G$49,MATCH(orders!$D558,products!$A$2:$A$49,0),MATCH(orders!J$1,products!$A$1:$G$1,0))</f>
        <v>M</v>
      </c>
      <c r="K558" s="11">
        <f>INDEX(products!$A$2:$G$49,MATCH(orders!$D558,products!$A$2:$A$49,0),MATCH(orders!K$1,products!$A$1:$G$1,0))</f>
        <v>0.2</v>
      </c>
      <c r="L558" s="12">
        <f>INDEX(products!$A$2:$G$49,MATCH(orders!$D558,products!$A$2:$A$49,0),MATCH(orders!L$1,products!$A$1:$G$1,0))</f>
        <v>4.3650000000000002</v>
      </c>
      <c r="M558" s="12">
        <f t="shared" si="24"/>
        <v>8.73</v>
      </c>
      <c r="N558" s="10" t="str">
        <f t="shared" si="25"/>
        <v>Liberica</v>
      </c>
      <c r="O558" s="10" t="str">
        <f t="shared" si="26"/>
        <v>Medium</v>
      </c>
      <c r="P558" s="10" t="str">
        <f>_xlfn.XLOOKUP(Tableau1[[#This Row],[Customer ID]],customers!A$2:A$1001,customers!I$2:I$1001)</f>
        <v>Yes</v>
      </c>
    </row>
    <row r="559" spans="1:16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9" t="str">
        <f>_xlfn.XLOOKUP(orders!C559,customers!$A$2:$A$1001,customers!$B$2:$B$1001)</f>
        <v>Marja Urion</v>
      </c>
      <c r="G559" s="9" t="str">
        <f>IF(_xlfn.XLOOKUP(orders!C559,customers!$A$2:$A$1001,customers!$C$2:$C$1001,,,)=0,"",_xlfn.XLOOKUP(orders!C559,customers!$A$2:$A$1001,customers!$C$2:$C$1001,,,))</f>
        <v>murione5@alexa.com</v>
      </c>
      <c r="H559" s="9" t="str">
        <f>_xlfn.XLOOKUP(C559,customers!$A$2:$A$1001,customers!$G$2:$G$1001,"")</f>
        <v>Ireland</v>
      </c>
      <c r="I559" s="10" t="str">
        <f>INDEX(products!$A$2:$G$49,MATCH(orders!$D559,products!$A$2:$A$49,0),MATCH(orders!I$1,products!$A$1:$G$1,0))</f>
        <v>Exc</v>
      </c>
      <c r="J559" s="10" t="str">
        <f>INDEX(products!$A$2:$G$49,MATCH(orders!$D559,products!$A$2:$A$49,0),MATCH(orders!J$1,products!$A$1:$G$1,0))</f>
        <v>L</v>
      </c>
      <c r="K559" s="11">
        <f>INDEX(products!$A$2:$G$49,MATCH(orders!$D559,products!$A$2:$A$49,0),MATCH(orders!K$1,products!$A$1:$G$1,0))</f>
        <v>1</v>
      </c>
      <c r="L559" s="12">
        <f>INDEX(products!$A$2:$G$49,MATCH(orders!$D559,products!$A$2:$A$49,0),MATCH(orders!L$1,products!$A$1:$G$1,0))</f>
        <v>14.85</v>
      </c>
      <c r="M559" s="12">
        <f t="shared" si="24"/>
        <v>59.4</v>
      </c>
      <c r="N559" s="10" t="str">
        <f t="shared" si="25"/>
        <v>Excelsa</v>
      </c>
      <c r="O559" s="10" t="str">
        <f t="shared" si="26"/>
        <v>Light</v>
      </c>
      <c r="P559" s="10" t="str">
        <f>_xlfn.XLOOKUP(Tableau1[[#This Row],[Customer ID]],customers!A$2:A$1001,customers!I$2:I$1001)</f>
        <v>Yes</v>
      </c>
    </row>
    <row r="560" spans="1:16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9" t="str">
        <f>_xlfn.XLOOKUP(orders!C560,customers!$A$2:$A$1001,customers!$B$2:$B$1001)</f>
        <v>Kenton Wetherick</v>
      </c>
      <c r="G560" s="9" t="str">
        <f>IF(_xlfn.XLOOKUP(orders!C560,customers!$A$2:$A$1001,customers!$C$2:$C$1001,,,)=0,"",_xlfn.XLOOKUP(orders!C560,customers!$A$2:$A$1001,customers!$C$2:$C$1001,,,))</f>
        <v/>
      </c>
      <c r="H560" s="9" t="str">
        <f>_xlfn.XLOOKUP(C560,customers!$A$2:$A$1001,customers!$G$2:$G$1001,"")</f>
        <v>United States</v>
      </c>
      <c r="I560" s="10" t="str">
        <f>INDEX(products!$A$2:$G$49,MATCH(orders!$D560,products!$A$2:$A$49,0),MATCH(orders!I$1,products!$A$1:$G$1,0))</f>
        <v>Lib</v>
      </c>
      <c r="J560" s="10" t="str">
        <f>INDEX(products!$A$2:$G$49,MATCH(orders!$D560,products!$A$2:$A$49,0),MATCH(orders!J$1,products!$A$1:$G$1,0))</f>
        <v>D</v>
      </c>
      <c r="K560" s="11">
        <f>INDEX(products!$A$2:$G$49,MATCH(orders!$D560,products!$A$2:$A$49,0),MATCH(orders!K$1,products!$A$1:$G$1,0))</f>
        <v>0.2</v>
      </c>
      <c r="L560" s="12">
        <f>INDEX(products!$A$2:$G$49,MATCH(orders!$D560,products!$A$2:$A$49,0),MATCH(orders!L$1,products!$A$1:$G$1,0))</f>
        <v>3.8849999999999998</v>
      </c>
      <c r="M560" s="12">
        <f t="shared" si="24"/>
        <v>15.54</v>
      </c>
      <c r="N560" s="10" t="str">
        <f t="shared" si="25"/>
        <v>Liberica</v>
      </c>
      <c r="O560" s="10" t="str">
        <f t="shared" si="26"/>
        <v>Dark</v>
      </c>
      <c r="P560" s="10" t="str">
        <f>_xlfn.XLOOKUP(Tableau1[[#This Row],[Customer ID]],customers!A$2:A$1001,customers!I$2:I$1001)</f>
        <v>Yes</v>
      </c>
    </row>
    <row r="561" spans="1:16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9" t="str">
        <f>_xlfn.XLOOKUP(orders!C561,customers!$A$2:$A$1001,customers!$B$2:$B$1001)</f>
        <v>Reamonn Aynold</v>
      </c>
      <c r="G561" s="9" t="str">
        <f>IF(_xlfn.XLOOKUP(orders!C561,customers!$A$2:$A$1001,customers!$C$2:$C$1001,,,)=0,"",_xlfn.XLOOKUP(orders!C561,customers!$A$2:$A$1001,customers!$C$2:$C$1001,,,))</f>
        <v>raynoldfj@ustream.tv</v>
      </c>
      <c r="H561" s="9" t="str">
        <f>_xlfn.XLOOKUP(C561,customers!$A$2:$A$1001,customers!$G$2:$G$1001,"")</f>
        <v>United States</v>
      </c>
      <c r="I561" s="10" t="str">
        <f>INDEX(products!$A$2:$G$49,MATCH(orders!$D561,products!$A$2:$A$49,0),MATCH(orders!I$1,products!$A$1:$G$1,0))</f>
        <v>Ara</v>
      </c>
      <c r="J561" s="10" t="str">
        <f>INDEX(products!$A$2:$G$49,MATCH(orders!$D561,products!$A$2:$A$49,0),MATCH(orders!J$1,products!$A$1:$G$1,0))</f>
        <v>L</v>
      </c>
      <c r="K561" s="11">
        <f>INDEX(products!$A$2:$G$49,MATCH(orders!$D561,products!$A$2:$A$49,0),MATCH(orders!K$1,products!$A$1:$G$1,0))</f>
        <v>1</v>
      </c>
      <c r="L561" s="12">
        <f>INDEX(products!$A$2:$G$49,MATCH(orders!$D561,products!$A$2:$A$49,0),MATCH(orders!L$1,products!$A$1:$G$1,0))</f>
        <v>12.95</v>
      </c>
      <c r="M561" s="12">
        <f t="shared" si="24"/>
        <v>38.849999999999994</v>
      </c>
      <c r="N561" s="10" t="str">
        <f t="shared" si="25"/>
        <v>Arabica</v>
      </c>
      <c r="O561" s="10" t="str">
        <f t="shared" si="26"/>
        <v>Light</v>
      </c>
      <c r="P561" s="10" t="str">
        <f>_xlfn.XLOOKUP(Tableau1[[#This Row],[Customer ID]],customers!A$2:A$1001,customers!I$2:I$1001)</f>
        <v>Yes</v>
      </c>
    </row>
    <row r="562" spans="1:16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9" t="str">
        <f>_xlfn.XLOOKUP(orders!C562,customers!$A$2:$A$1001,customers!$B$2:$B$1001)</f>
        <v>Hatty Dovydenas</v>
      </c>
      <c r="G562" s="9" t="str">
        <f>IF(_xlfn.XLOOKUP(orders!C562,customers!$A$2:$A$1001,customers!$C$2:$C$1001,,,)=0,"",_xlfn.XLOOKUP(orders!C562,customers!$A$2:$A$1001,customers!$C$2:$C$1001,,,))</f>
        <v/>
      </c>
      <c r="H562" s="9" t="str">
        <f>_xlfn.XLOOKUP(C562,customers!$A$2:$A$1001,customers!$G$2:$G$1001,"")</f>
        <v>United States</v>
      </c>
      <c r="I562" s="10" t="str">
        <f>INDEX(products!$A$2:$G$49,MATCH(orders!$D562,products!$A$2:$A$49,0),MATCH(orders!I$1,products!$A$1:$G$1,0))</f>
        <v>Exc</v>
      </c>
      <c r="J562" s="10" t="str">
        <f>INDEX(products!$A$2:$G$49,MATCH(orders!$D562,products!$A$2:$A$49,0),MATCH(orders!J$1,products!$A$1:$G$1,0))</f>
        <v>M</v>
      </c>
      <c r="K562" s="11">
        <f>INDEX(products!$A$2:$G$49,MATCH(orders!$D562,products!$A$2:$A$49,0),MATCH(orders!K$1,products!$A$1:$G$1,0))</f>
        <v>2.5</v>
      </c>
      <c r="L562" s="12">
        <f>INDEX(products!$A$2:$G$49,MATCH(orders!$D562,products!$A$2:$A$49,0),MATCH(orders!L$1,products!$A$1:$G$1,0))</f>
        <v>31.624999999999996</v>
      </c>
      <c r="M562" s="12">
        <f t="shared" si="24"/>
        <v>189.74999999999997</v>
      </c>
      <c r="N562" s="10" t="str">
        <f t="shared" si="25"/>
        <v>Excelsa</v>
      </c>
      <c r="O562" s="10" t="str">
        <f t="shared" si="26"/>
        <v>Medium</v>
      </c>
      <c r="P562" s="10" t="str">
        <f>_xlfn.XLOOKUP(Tableau1[[#This Row],[Customer ID]],customers!A$2:A$1001,customers!I$2:I$1001)</f>
        <v>Yes</v>
      </c>
    </row>
    <row r="563" spans="1:16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9" t="str">
        <f>_xlfn.XLOOKUP(orders!C563,customers!$A$2:$A$1001,customers!$B$2:$B$1001)</f>
        <v>Nathaniel Bloxland</v>
      </c>
      <c r="G563" s="9" t="str">
        <f>IF(_xlfn.XLOOKUP(orders!C563,customers!$A$2:$A$1001,customers!$C$2:$C$1001,,,)=0,"",_xlfn.XLOOKUP(orders!C563,customers!$A$2:$A$1001,customers!$C$2:$C$1001,,,))</f>
        <v/>
      </c>
      <c r="H563" s="9" t="str">
        <f>_xlfn.XLOOKUP(C563,customers!$A$2:$A$1001,customers!$G$2:$G$1001,"")</f>
        <v>Ireland</v>
      </c>
      <c r="I563" s="10" t="str">
        <f>INDEX(products!$A$2:$G$49,MATCH(orders!$D563,products!$A$2:$A$49,0),MATCH(orders!I$1,products!$A$1:$G$1,0))</f>
        <v>Ara</v>
      </c>
      <c r="J563" s="10" t="str">
        <f>INDEX(products!$A$2:$G$49,MATCH(orders!$D563,products!$A$2:$A$49,0),MATCH(orders!J$1,products!$A$1:$G$1,0))</f>
        <v>D</v>
      </c>
      <c r="K563" s="11">
        <f>INDEX(products!$A$2:$G$49,MATCH(orders!$D563,products!$A$2:$A$49,0),MATCH(orders!K$1,products!$A$1:$G$1,0))</f>
        <v>0.2</v>
      </c>
      <c r="L563" s="12">
        <f>INDEX(products!$A$2:$G$49,MATCH(orders!$D563,products!$A$2:$A$49,0),MATCH(orders!L$1,products!$A$1:$G$1,0))</f>
        <v>2.9849999999999999</v>
      </c>
      <c r="M563" s="12">
        <f t="shared" si="24"/>
        <v>17.91</v>
      </c>
      <c r="N563" s="10" t="str">
        <f t="shared" si="25"/>
        <v>Arabica</v>
      </c>
      <c r="O563" s="10" t="str">
        <f t="shared" si="26"/>
        <v>Dark</v>
      </c>
      <c r="P563" s="10" t="str">
        <f>_xlfn.XLOOKUP(Tableau1[[#This Row],[Customer ID]],customers!A$2:A$1001,customers!I$2:I$1001)</f>
        <v>Yes</v>
      </c>
    </row>
    <row r="564" spans="1:16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9" t="str">
        <f>_xlfn.XLOOKUP(orders!C564,customers!$A$2:$A$1001,customers!$B$2:$B$1001)</f>
        <v>Brendan Grece</v>
      </c>
      <c r="G564" s="9" t="str">
        <f>IF(_xlfn.XLOOKUP(orders!C564,customers!$A$2:$A$1001,customers!$C$2:$C$1001,,,)=0,"",_xlfn.XLOOKUP(orders!C564,customers!$A$2:$A$1001,customers!$C$2:$C$1001,,,))</f>
        <v>bgrecefm@naver.com</v>
      </c>
      <c r="H564" s="9" t="str">
        <f>_xlfn.XLOOKUP(C564,customers!$A$2:$A$1001,customers!$G$2:$G$1001,"")</f>
        <v>United Kingdom</v>
      </c>
      <c r="I564" s="10" t="str">
        <f>INDEX(products!$A$2:$G$49,MATCH(orders!$D564,products!$A$2:$A$49,0),MATCH(orders!I$1,products!$A$1:$G$1,0))</f>
        <v>Lib</v>
      </c>
      <c r="J564" s="10" t="str">
        <f>INDEX(products!$A$2:$G$49,MATCH(orders!$D564,products!$A$2:$A$49,0),MATCH(orders!J$1,products!$A$1:$G$1,0))</f>
        <v>L</v>
      </c>
      <c r="K564" s="11">
        <f>INDEX(products!$A$2:$G$49,MATCH(orders!$D564,products!$A$2:$A$49,0),MATCH(orders!K$1,products!$A$1:$G$1,0))</f>
        <v>0.2</v>
      </c>
      <c r="L564" s="12">
        <f>INDEX(products!$A$2:$G$49,MATCH(orders!$D564,products!$A$2:$A$49,0),MATCH(orders!L$1,products!$A$1:$G$1,0))</f>
        <v>4.7549999999999999</v>
      </c>
      <c r="M564" s="12">
        <f t="shared" si="24"/>
        <v>28.53</v>
      </c>
      <c r="N564" s="10" t="str">
        <f t="shared" si="25"/>
        <v>Liberica</v>
      </c>
      <c r="O564" s="10" t="str">
        <f t="shared" si="26"/>
        <v>Light</v>
      </c>
      <c r="P564" s="10" t="str">
        <f>_xlfn.XLOOKUP(Tableau1[[#This Row],[Customer ID]],customers!A$2:A$1001,customers!I$2:I$1001)</f>
        <v>No</v>
      </c>
    </row>
    <row r="565" spans="1:16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9" t="str">
        <f>_xlfn.XLOOKUP(orders!C565,customers!$A$2:$A$1001,customers!$B$2:$B$1001)</f>
        <v>Don Flintiff</v>
      </c>
      <c r="G565" s="9" t="str">
        <f>IF(_xlfn.XLOOKUP(orders!C565,customers!$A$2:$A$1001,customers!$C$2:$C$1001,,,)=0,"",_xlfn.XLOOKUP(orders!C565,customers!$A$2:$A$1001,customers!$C$2:$C$1001,,,))</f>
        <v>dflintiffg1@e-recht24.de</v>
      </c>
      <c r="H565" s="9" t="str">
        <f>_xlfn.XLOOKUP(C565,customers!$A$2:$A$1001,customers!$G$2:$G$1001,"")</f>
        <v>United Kingdom</v>
      </c>
      <c r="I565" s="10" t="str">
        <f>INDEX(products!$A$2:$G$49,MATCH(orders!$D565,products!$A$2:$A$49,0),MATCH(orders!I$1,products!$A$1:$G$1,0))</f>
        <v>Exc</v>
      </c>
      <c r="J565" s="10" t="str">
        <f>INDEX(products!$A$2:$G$49,MATCH(orders!$D565,products!$A$2:$A$49,0),MATCH(orders!J$1,products!$A$1:$G$1,0))</f>
        <v>M</v>
      </c>
      <c r="K565" s="11">
        <f>INDEX(products!$A$2:$G$49,MATCH(orders!$D565,products!$A$2:$A$49,0),MATCH(orders!K$1,products!$A$1:$G$1,0))</f>
        <v>1</v>
      </c>
      <c r="L565" s="12">
        <f>INDEX(products!$A$2:$G$49,MATCH(orders!$D565,products!$A$2:$A$49,0),MATCH(orders!L$1,products!$A$1:$G$1,0))</f>
        <v>13.75</v>
      </c>
      <c r="M565" s="12">
        <f t="shared" si="24"/>
        <v>82.5</v>
      </c>
      <c r="N565" s="10" t="str">
        <f t="shared" si="25"/>
        <v>Excelsa</v>
      </c>
      <c r="O565" s="10" t="str">
        <f t="shared" si="26"/>
        <v>Medium</v>
      </c>
      <c r="P565" s="10" t="str">
        <f>_xlfn.XLOOKUP(Tableau1[[#This Row],[Customer ID]],customers!A$2:A$1001,customers!I$2:I$1001)</f>
        <v>No</v>
      </c>
    </row>
    <row r="566" spans="1:16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9" t="str">
        <f>_xlfn.XLOOKUP(orders!C566,customers!$A$2:$A$1001,customers!$B$2:$B$1001)</f>
        <v>Abbe Thys</v>
      </c>
      <c r="G566" s="9" t="str">
        <f>IF(_xlfn.XLOOKUP(orders!C566,customers!$A$2:$A$1001,customers!$C$2:$C$1001,,,)=0,"",_xlfn.XLOOKUP(orders!C566,customers!$A$2:$A$1001,customers!$C$2:$C$1001,,,))</f>
        <v>athysfo@cdc.gov</v>
      </c>
      <c r="H566" s="9" t="str">
        <f>_xlfn.XLOOKUP(C566,customers!$A$2:$A$1001,customers!$G$2:$G$1001,"")</f>
        <v>United States</v>
      </c>
      <c r="I566" s="10" t="str">
        <f>INDEX(products!$A$2:$G$49,MATCH(orders!$D566,products!$A$2:$A$49,0),MATCH(orders!I$1,products!$A$1:$G$1,0))</f>
        <v>Rob</v>
      </c>
      <c r="J566" s="10" t="str">
        <f>INDEX(products!$A$2:$G$49,MATCH(orders!$D566,products!$A$2:$A$49,0),MATCH(orders!J$1,products!$A$1:$G$1,0))</f>
        <v>L</v>
      </c>
      <c r="K566" s="11">
        <f>INDEX(products!$A$2:$G$49,MATCH(orders!$D566,products!$A$2:$A$49,0),MATCH(orders!K$1,products!$A$1:$G$1,0))</f>
        <v>0.5</v>
      </c>
      <c r="L566" s="12">
        <f>INDEX(products!$A$2:$G$49,MATCH(orders!$D566,products!$A$2:$A$49,0),MATCH(orders!L$1,products!$A$1:$G$1,0))</f>
        <v>7.169999999999999</v>
      </c>
      <c r="M566" s="12">
        <f t="shared" si="24"/>
        <v>14.339999999999998</v>
      </c>
      <c r="N566" s="10" t="str">
        <f t="shared" si="25"/>
        <v>Robusta</v>
      </c>
      <c r="O566" s="10" t="str">
        <f t="shared" si="26"/>
        <v>Light</v>
      </c>
      <c r="P566" s="10" t="str">
        <f>_xlfn.XLOOKUP(Tableau1[[#This Row],[Customer ID]],customers!A$2:A$1001,customers!I$2:I$1001)</f>
        <v>No</v>
      </c>
    </row>
    <row r="567" spans="1:16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9" t="str">
        <f>_xlfn.XLOOKUP(orders!C567,customers!$A$2:$A$1001,customers!$B$2:$B$1001)</f>
        <v>Jackquelin Chugg</v>
      </c>
      <c r="G567" s="9" t="str">
        <f>IF(_xlfn.XLOOKUP(orders!C567,customers!$A$2:$A$1001,customers!$C$2:$C$1001,,,)=0,"",_xlfn.XLOOKUP(orders!C567,customers!$A$2:$A$1001,customers!$C$2:$C$1001,,,))</f>
        <v>jchuggfp@about.me</v>
      </c>
      <c r="H567" s="9" t="str">
        <f>_xlfn.XLOOKUP(C567,customers!$A$2:$A$1001,customers!$G$2:$G$1001,"")</f>
        <v>United States</v>
      </c>
      <c r="I567" s="10" t="str">
        <f>INDEX(products!$A$2:$G$49,MATCH(orders!$D567,products!$A$2:$A$49,0),MATCH(orders!I$1,products!$A$1:$G$1,0))</f>
        <v>Rob</v>
      </c>
      <c r="J567" s="10" t="str">
        <f>INDEX(products!$A$2:$G$49,MATCH(orders!$D567,products!$A$2:$A$49,0),MATCH(orders!J$1,products!$A$1:$G$1,0))</f>
        <v>D</v>
      </c>
      <c r="K567" s="11">
        <f>INDEX(products!$A$2:$G$49,MATCH(orders!$D567,products!$A$2:$A$49,0),MATCH(orders!K$1,products!$A$1:$G$1,0))</f>
        <v>2.5</v>
      </c>
      <c r="L567" s="12">
        <f>INDEX(products!$A$2:$G$49,MATCH(orders!$D567,products!$A$2:$A$49,0),MATCH(orders!L$1,products!$A$1:$G$1,0))</f>
        <v>20.584999999999997</v>
      </c>
      <c r="M567" s="12">
        <f t="shared" si="24"/>
        <v>82.339999999999989</v>
      </c>
      <c r="N567" s="10" t="str">
        <f t="shared" si="25"/>
        <v>Robusta</v>
      </c>
      <c r="O567" s="10" t="str">
        <f t="shared" si="26"/>
        <v>Dark</v>
      </c>
      <c r="P567" s="10" t="str">
        <f>_xlfn.XLOOKUP(Tableau1[[#This Row],[Customer ID]],customers!A$2:A$1001,customers!I$2:I$1001)</f>
        <v>No</v>
      </c>
    </row>
    <row r="568" spans="1:16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9" t="str">
        <f>_xlfn.XLOOKUP(orders!C568,customers!$A$2:$A$1001,customers!$B$2:$B$1001)</f>
        <v>Audra Kelston</v>
      </c>
      <c r="G568" s="9" t="str">
        <f>IF(_xlfn.XLOOKUP(orders!C568,customers!$A$2:$A$1001,customers!$C$2:$C$1001,,,)=0,"",_xlfn.XLOOKUP(orders!C568,customers!$A$2:$A$1001,customers!$C$2:$C$1001,,,))</f>
        <v>akelstonfq@sakura.ne.jp</v>
      </c>
      <c r="H568" s="9" t="str">
        <f>_xlfn.XLOOKUP(C568,customers!$A$2:$A$1001,customers!$G$2:$G$1001,"")</f>
        <v>United States</v>
      </c>
      <c r="I568" s="10" t="str">
        <f>INDEX(products!$A$2:$G$49,MATCH(orders!$D568,products!$A$2:$A$49,0),MATCH(orders!I$1,products!$A$1:$G$1,0))</f>
        <v>Ara</v>
      </c>
      <c r="J568" s="10" t="str">
        <f>INDEX(products!$A$2:$G$49,MATCH(orders!$D568,products!$A$2:$A$49,0),MATCH(orders!J$1,products!$A$1:$G$1,0))</f>
        <v>M</v>
      </c>
      <c r="K568" s="11">
        <f>INDEX(products!$A$2:$G$49,MATCH(orders!$D568,products!$A$2:$A$49,0),MATCH(orders!K$1,products!$A$1:$G$1,0))</f>
        <v>0.2</v>
      </c>
      <c r="L568" s="12">
        <f>INDEX(products!$A$2:$G$49,MATCH(orders!$D568,products!$A$2:$A$49,0),MATCH(orders!L$1,products!$A$1:$G$1,0))</f>
        <v>3.375</v>
      </c>
      <c r="M568" s="12">
        <f t="shared" si="24"/>
        <v>20.25</v>
      </c>
      <c r="N568" s="10" t="str">
        <f t="shared" si="25"/>
        <v>Arabica</v>
      </c>
      <c r="O568" s="10" t="str">
        <f t="shared" si="26"/>
        <v>Medium</v>
      </c>
      <c r="P568" s="10" t="str">
        <f>_xlfn.XLOOKUP(Tableau1[[#This Row],[Customer ID]],customers!A$2:A$1001,customers!I$2:I$1001)</f>
        <v>Yes</v>
      </c>
    </row>
    <row r="569" spans="1:16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9" t="str">
        <f>_xlfn.XLOOKUP(orders!C569,customers!$A$2:$A$1001,customers!$B$2:$B$1001)</f>
        <v>Elvina Angel</v>
      </c>
      <c r="G569" s="9" t="str">
        <f>IF(_xlfn.XLOOKUP(orders!C569,customers!$A$2:$A$1001,customers!$C$2:$C$1001,,,)=0,"",_xlfn.XLOOKUP(orders!C569,customers!$A$2:$A$1001,customers!$C$2:$C$1001,,,))</f>
        <v/>
      </c>
      <c r="H569" s="9" t="str">
        <f>_xlfn.XLOOKUP(C569,customers!$A$2:$A$1001,customers!$G$2:$G$1001,"")</f>
        <v>Ireland</v>
      </c>
      <c r="I569" s="10" t="str">
        <f>INDEX(products!$A$2:$G$49,MATCH(orders!$D569,products!$A$2:$A$49,0),MATCH(orders!I$1,products!$A$1:$G$1,0))</f>
        <v>Rob</v>
      </c>
      <c r="J569" s="10" t="str">
        <f>INDEX(products!$A$2:$G$49,MATCH(orders!$D569,products!$A$2:$A$49,0),MATCH(orders!J$1,products!$A$1:$G$1,0))</f>
        <v>L</v>
      </c>
      <c r="K569" s="11">
        <f>INDEX(products!$A$2:$G$49,MATCH(orders!$D569,products!$A$2:$A$49,0),MATCH(orders!K$1,products!$A$1:$G$1,0))</f>
        <v>2.5</v>
      </c>
      <c r="L569" s="12">
        <f>INDEX(products!$A$2:$G$49,MATCH(orders!$D569,products!$A$2:$A$49,0),MATCH(orders!L$1,products!$A$1:$G$1,0))</f>
        <v>27.484999999999996</v>
      </c>
      <c r="M569" s="12">
        <f t="shared" si="24"/>
        <v>164.90999999999997</v>
      </c>
      <c r="N569" s="10" t="str">
        <f t="shared" si="25"/>
        <v>Robusta</v>
      </c>
      <c r="O569" s="10" t="str">
        <f t="shared" si="26"/>
        <v>Light</v>
      </c>
      <c r="P569" s="10" t="str">
        <f>_xlfn.XLOOKUP(Tableau1[[#This Row],[Customer ID]],customers!A$2:A$1001,customers!I$2:I$1001)</f>
        <v>No</v>
      </c>
    </row>
    <row r="570" spans="1:16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9" t="str">
        <f>_xlfn.XLOOKUP(orders!C570,customers!$A$2:$A$1001,customers!$B$2:$B$1001)</f>
        <v>Claiborne Mottram</v>
      </c>
      <c r="G570" s="9" t="str">
        <f>IF(_xlfn.XLOOKUP(orders!C570,customers!$A$2:$A$1001,customers!$C$2:$C$1001,,,)=0,"",_xlfn.XLOOKUP(orders!C570,customers!$A$2:$A$1001,customers!$C$2:$C$1001,,,))</f>
        <v>cmottramfs@harvard.edu</v>
      </c>
      <c r="H570" s="9" t="str">
        <f>_xlfn.XLOOKUP(C570,customers!$A$2:$A$1001,customers!$G$2:$G$1001,"")</f>
        <v>United States</v>
      </c>
      <c r="I570" s="10" t="str">
        <f>INDEX(products!$A$2:$G$49,MATCH(orders!$D570,products!$A$2:$A$49,0),MATCH(orders!I$1,products!$A$1:$G$1,0))</f>
        <v>Lib</v>
      </c>
      <c r="J570" s="10" t="str">
        <f>INDEX(products!$A$2:$G$49,MATCH(orders!$D570,products!$A$2:$A$49,0),MATCH(orders!J$1,products!$A$1:$G$1,0))</f>
        <v>L</v>
      </c>
      <c r="K570" s="11">
        <f>INDEX(products!$A$2:$G$49,MATCH(orders!$D570,products!$A$2:$A$49,0),MATCH(orders!K$1,products!$A$1:$G$1,0))</f>
        <v>0.2</v>
      </c>
      <c r="L570" s="12">
        <f>INDEX(products!$A$2:$G$49,MATCH(orders!$D570,products!$A$2:$A$49,0),MATCH(orders!L$1,products!$A$1:$G$1,0))</f>
        <v>4.7549999999999999</v>
      </c>
      <c r="M570" s="12">
        <f t="shared" si="24"/>
        <v>19.02</v>
      </c>
      <c r="N570" s="10" t="str">
        <f t="shared" si="25"/>
        <v>Liberica</v>
      </c>
      <c r="O570" s="10" t="str">
        <f t="shared" si="26"/>
        <v>Light</v>
      </c>
      <c r="P570" s="10" t="str">
        <f>_xlfn.XLOOKUP(Tableau1[[#This Row],[Customer ID]],customers!A$2:A$1001,customers!I$2:I$1001)</f>
        <v>Yes</v>
      </c>
    </row>
    <row r="571" spans="1:16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9" t="str">
        <f>_xlfn.XLOOKUP(orders!C571,customers!$A$2:$A$1001,customers!$B$2:$B$1001)</f>
        <v>Don Flintiff</v>
      </c>
      <c r="G571" s="9" t="str">
        <f>IF(_xlfn.XLOOKUP(orders!C571,customers!$A$2:$A$1001,customers!$C$2:$C$1001,,,)=0,"",_xlfn.XLOOKUP(orders!C571,customers!$A$2:$A$1001,customers!$C$2:$C$1001,,,))</f>
        <v>dflintiffg1@e-recht24.de</v>
      </c>
      <c r="H571" s="9" t="str">
        <f>_xlfn.XLOOKUP(C571,customers!$A$2:$A$1001,customers!$G$2:$G$1001,"")</f>
        <v>United Kingdom</v>
      </c>
      <c r="I571" s="10" t="str">
        <f>INDEX(products!$A$2:$G$49,MATCH(orders!$D571,products!$A$2:$A$49,0),MATCH(orders!I$1,products!$A$1:$G$1,0))</f>
        <v>Ara</v>
      </c>
      <c r="J571" s="10" t="str">
        <f>INDEX(products!$A$2:$G$49,MATCH(orders!$D571,products!$A$2:$A$49,0),MATCH(orders!J$1,products!$A$1:$G$1,0))</f>
        <v>D</v>
      </c>
      <c r="K571" s="11">
        <f>INDEX(products!$A$2:$G$49,MATCH(orders!$D571,products!$A$2:$A$49,0),MATCH(orders!K$1,products!$A$1:$G$1,0))</f>
        <v>2.5</v>
      </c>
      <c r="L571" s="12">
        <f>INDEX(products!$A$2:$G$49,MATCH(orders!$D571,products!$A$2:$A$49,0),MATCH(orders!L$1,products!$A$1:$G$1,0))</f>
        <v>22.884999999999998</v>
      </c>
      <c r="M571" s="12">
        <f t="shared" si="24"/>
        <v>137.31</v>
      </c>
      <c r="N571" s="10" t="str">
        <f t="shared" si="25"/>
        <v>Arabica</v>
      </c>
      <c r="O571" s="10" t="str">
        <f t="shared" si="26"/>
        <v>Dark</v>
      </c>
      <c r="P571" s="10" t="str">
        <f>_xlfn.XLOOKUP(Tableau1[[#This Row],[Customer ID]],customers!A$2:A$1001,customers!I$2:I$1001)</f>
        <v>No</v>
      </c>
    </row>
    <row r="572" spans="1:16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9" t="str">
        <f>_xlfn.XLOOKUP(orders!C572,customers!$A$2:$A$1001,customers!$B$2:$B$1001)</f>
        <v>Donalt Sangwin</v>
      </c>
      <c r="G572" s="9" t="str">
        <f>IF(_xlfn.XLOOKUP(orders!C572,customers!$A$2:$A$1001,customers!$C$2:$C$1001,,,)=0,"",_xlfn.XLOOKUP(orders!C572,customers!$A$2:$A$1001,customers!$C$2:$C$1001,,,))</f>
        <v>dsangwinfu@weebly.com</v>
      </c>
      <c r="H572" s="9" t="str">
        <f>_xlfn.XLOOKUP(C572,customers!$A$2:$A$1001,customers!$G$2:$G$1001,"")</f>
        <v>United States</v>
      </c>
      <c r="I572" s="10" t="str">
        <f>INDEX(products!$A$2:$G$49,MATCH(orders!$D572,products!$A$2:$A$49,0),MATCH(orders!I$1,products!$A$1:$G$1,0))</f>
        <v>Ara</v>
      </c>
      <c r="J572" s="10" t="str">
        <f>INDEX(products!$A$2:$G$49,MATCH(orders!$D572,products!$A$2:$A$49,0),MATCH(orders!J$1,products!$A$1:$G$1,0))</f>
        <v>M</v>
      </c>
      <c r="K572" s="11">
        <f>INDEX(products!$A$2:$G$49,MATCH(orders!$D572,products!$A$2:$A$49,0),MATCH(orders!K$1,products!$A$1:$G$1,0))</f>
        <v>0.5</v>
      </c>
      <c r="L572" s="12">
        <f>INDEX(products!$A$2:$G$49,MATCH(orders!$D572,products!$A$2:$A$49,0),MATCH(orders!L$1,products!$A$1:$G$1,0))</f>
        <v>6.75</v>
      </c>
      <c r="M572" s="12">
        <f t="shared" si="24"/>
        <v>27</v>
      </c>
      <c r="N572" s="10" t="str">
        <f t="shared" si="25"/>
        <v>Arabica</v>
      </c>
      <c r="O572" s="10" t="str">
        <f t="shared" si="26"/>
        <v>Medium</v>
      </c>
      <c r="P572" s="10" t="str">
        <f>_xlfn.XLOOKUP(Tableau1[[#This Row],[Customer ID]],customers!A$2:A$1001,customers!I$2:I$1001)</f>
        <v>No</v>
      </c>
    </row>
    <row r="573" spans="1:16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9" t="str">
        <f>_xlfn.XLOOKUP(orders!C573,customers!$A$2:$A$1001,customers!$B$2:$B$1001)</f>
        <v>Elizabet Aizikowitz</v>
      </c>
      <c r="G573" s="9" t="str">
        <f>IF(_xlfn.XLOOKUP(orders!C573,customers!$A$2:$A$1001,customers!$C$2:$C$1001,,,)=0,"",_xlfn.XLOOKUP(orders!C573,customers!$A$2:$A$1001,customers!$C$2:$C$1001,,,))</f>
        <v>eaizikowitzfv@virginia.edu</v>
      </c>
      <c r="H573" s="9" t="str">
        <f>_xlfn.XLOOKUP(C573,customers!$A$2:$A$1001,customers!$G$2:$G$1001,"")</f>
        <v>United Kingdom</v>
      </c>
      <c r="I573" s="10" t="str">
        <f>INDEX(products!$A$2:$G$49,MATCH(orders!$D573,products!$A$2:$A$49,0),MATCH(orders!I$1,products!$A$1:$G$1,0))</f>
        <v>Exc</v>
      </c>
      <c r="J573" s="10" t="str">
        <f>INDEX(products!$A$2:$G$49,MATCH(orders!$D573,products!$A$2:$A$49,0),MATCH(orders!J$1,products!$A$1:$G$1,0))</f>
        <v>L</v>
      </c>
      <c r="K573" s="11">
        <f>INDEX(products!$A$2:$G$49,MATCH(orders!$D573,products!$A$2:$A$49,0),MATCH(orders!K$1,products!$A$1:$G$1,0))</f>
        <v>0.5</v>
      </c>
      <c r="L573" s="12">
        <f>INDEX(products!$A$2:$G$49,MATCH(orders!$D573,products!$A$2:$A$49,0),MATCH(orders!L$1,products!$A$1:$G$1,0))</f>
        <v>8.91</v>
      </c>
      <c r="M573" s="12">
        <f t="shared" si="24"/>
        <v>35.64</v>
      </c>
      <c r="N573" s="10" t="str">
        <f t="shared" si="25"/>
        <v>Excelsa</v>
      </c>
      <c r="O573" s="10" t="str">
        <f t="shared" si="26"/>
        <v>Light</v>
      </c>
      <c r="P573" s="10" t="str">
        <f>_xlfn.XLOOKUP(Tableau1[[#This Row],[Customer ID]],customers!A$2:A$1001,customers!I$2:I$1001)</f>
        <v>No</v>
      </c>
    </row>
    <row r="574" spans="1:16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9" t="str">
        <f>_xlfn.XLOOKUP(orders!C574,customers!$A$2:$A$1001,customers!$B$2:$B$1001)</f>
        <v>Herbie Peppard</v>
      </c>
      <c r="G574" s="9" t="str">
        <f>IF(_xlfn.XLOOKUP(orders!C574,customers!$A$2:$A$1001,customers!$C$2:$C$1001,,,)=0,"",_xlfn.XLOOKUP(orders!C574,customers!$A$2:$A$1001,customers!$C$2:$C$1001,,,))</f>
        <v/>
      </c>
      <c r="H574" s="9" t="str">
        <f>_xlfn.XLOOKUP(C574,customers!$A$2:$A$1001,customers!$G$2:$G$1001,"")</f>
        <v>United States</v>
      </c>
      <c r="I574" s="10" t="str">
        <f>INDEX(products!$A$2:$G$49,MATCH(orders!$D574,products!$A$2:$A$49,0),MATCH(orders!I$1,products!$A$1:$G$1,0))</f>
        <v>Ara</v>
      </c>
      <c r="J574" s="10" t="str">
        <f>INDEX(products!$A$2:$G$49,MATCH(orders!$D574,products!$A$2:$A$49,0),MATCH(orders!J$1,products!$A$1:$G$1,0))</f>
        <v>D</v>
      </c>
      <c r="K574" s="11">
        <f>INDEX(products!$A$2:$G$49,MATCH(orders!$D574,products!$A$2:$A$49,0),MATCH(orders!K$1,products!$A$1:$G$1,0))</f>
        <v>0.2</v>
      </c>
      <c r="L574" s="12">
        <f>INDEX(products!$A$2:$G$49,MATCH(orders!$D574,products!$A$2:$A$49,0),MATCH(orders!L$1,products!$A$1:$G$1,0))</f>
        <v>2.9849999999999999</v>
      </c>
      <c r="M574" s="12">
        <f t="shared" si="24"/>
        <v>5.97</v>
      </c>
      <c r="N574" s="10" t="str">
        <f t="shared" si="25"/>
        <v>Arabica</v>
      </c>
      <c r="O574" s="10" t="str">
        <f t="shared" si="26"/>
        <v>Dark</v>
      </c>
      <c r="P574" s="10" t="str">
        <f>_xlfn.XLOOKUP(Tableau1[[#This Row],[Customer ID]],customers!A$2:A$1001,customers!I$2:I$1001)</f>
        <v>Yes</v>
      </c>
    </row>
    <row r="575" spans="1:16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9" t="str">
        <f>_xlfn.XLOOKUP(orders!C575,customers!$A$2:$A$1001,customers!$B$2:$B$1001)</f>
        <v>Cornie Venour</v>
      </c>
      <c r="G575" s="9" t="str">
        <f>IF(_xlfn.XLOOKUP(orders!C575,customers!$A$2:$A$1001,customers!$C$2:$C$1001,,,)=0,"",_xlfn.XLOOKUP(orders!C575,customers!$A$2:$A$1001,customers!$C$2:$C$1001,,,))</f>
        <v>cvenourfx@ask.com</v>
      </c>
      <c r="H575" s="9" t="str">
        <f>_xlfn.XLOOKUP(C575,customers!$A$2:$A$1001,customers!$G$2:$G$1001,"")</f>
        <v>United States</v>
      </c>
      <c r="I575" s="10" t="str">
        <f>INDEX(products!$A$2:$G$49,MATCH(orders!$D575,products!$A$2:$A$49,0),MATCH(orders!I$1,products!$A$1:$G$1,0))</f>
        <v>Ara</v>
      </c>
      <c r="J575" s="10" t="str">
        <f>INDEX(products!$A$2:$G$49,MATCH(orders!$D575,products!$A$2:$A$49,0),MATCH(orders!J$1,products!$A$1:$G$1,0))</f>
        <v>M</v>
      </c>
      <c r="K575" s="11">
        <f>INDEX(products!$A$2:$G$49,MATCH(orders!$D575,products!$A$2:$A$49,0),MATCH(orders!K$1,products!$A$1:$G$1,0))</f>
        <v>1</v>
      </c>
      <c r="L575" s="12">
        <f>INDEX(products!$A$2:$G$49,MATCH(orders!$D575,products!$A$2:$A$49,0),MATCH(orders!L$1,products!$A$1:$G$1,0))</f>
        <v>11.25</v>
      </c>
      <c r="M575" s="12">
        <f t="shared" si="24"/>
        <v>67.5</v>
      </c>
      <c r="N575" s="10" t="str">
        <f t="shared" si="25"/>
        <v>Arabica</v>
      </c>
      <c r="O575" s="10" t="str">
        <f t="shared" si="26"/>
        <v>Medium</v>
      </c>
      <c r="P575" s="10" t="str">
        <f>_xlfn.XLOOKUP(Tableau1[[#This Row],[Customer ID]],customers!A$2:A$1001,customers!I$2:I$1001)</f>
        <v>No</v>
      </c>
    </row>
    <row r="576" spans="1:16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9" t="str">
        <f>_xlfn.XLOOKUP(orders!C576,customers!$A$2:$A$1001,customers!$B$2:$B$1001)</f>
        <v>Maggy Harby</v>
      </c>
      <c r="G576" s="9" t="str">
        <f>IF(_xlfn.XLOOKUP(orders!C576,customers!$A$2:$A$1001,customers!$C$2:$C$1001,,,)=0,"",_xlfn.XLOOKUP(orders!C576,customers!$A$2:$A$1001,customers!$C$2:$C$1001,,,))</f>
        <v>mharbyfy@163.com</v>
      </c>
      <c r="H576" s="9" t="str">
        <f>_xlfn.XLOOKUP(C576,customers!$A$2:$A$1001,customers!$G$2:$G$1001,"")</f>
        <v>United States</v>
      </c>
      <c r="I576" s="10" t="str">
        <f>INDEX(products!$A$2:$G$49,MATCH(orders!$D576,products!$A$2:$A$49,0),MATCH(orders!I$1,products!$A$1:$G$1,0))</f>
        <v>Rob</v>
      </c>
      <c r="J576" s="10" t="str">
        <f>INDEX(products!$A$2:$G$49,MATCH(orders!$D576,products!$A$2:$A$49,0),MATCH(orders!J$1,products!$A$1:$G$1,0))</f>
        <v>L</v>
      </c>
      <c r="K576" s="11">
        <f>INDEX(products!$A$2:$G$49,MATCH(orders!$D576,products!$A$2:$A$49,0),MATCH(orders!K$1,products!$A$1:$G$1,0))</f>
        <v>0.2</v>
      </c>
      <c r="L576" s="12">
        <f>INDEX(products!$A$2:$G$49,MATCH(orders!$D576,products!$A$2:$A$49,0),MATCH(orders!L$1,products!$A$1:$G$1,0))</f>
        <v>3.5849999999999995</v>
      </c>
      <c r="M576" s="12">
        <f t="shared" si="24"/>
        <v>21.509999999999998</v>
      </c>
      <c r="N576" s="10" t="str">
        <f t="shared" si="25"/>
        <v>Robusta</v>
      </c>
      <c r="O576" s="10" t="str">
        <f t="shared" si="26"/>
        <v>Light</v>
      </c>
      <c r="P576" s="10" t="str">
        <f>_xlfn.XLOOKUP(Tableau1[[#This Row],[Customer ID]],customers!A$2:A$1001,customers!I$2:I$1001)</f>
        <v>Yes</v>
      </c>
    </row>
    <row r="577" spans="1:16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9" t="str">
        <f>_xlfn.XLOOKUP(orders!C577,customers!$A$2:$A$1001,customers!$B$2:$B$1001)</f>
        <v>Reggie Thickpenny</v>
      </c>
      <c r="G577" s="9" t="str">
        <f>IF(_xlfn.XLOOKUP(orders!C577,customers!$A$2:$A$1001,customers!$C$2:$C$1001,,,)=0,"",_xlfn.XLOOKUP(orders!C577,customers!$A$2:$A$1001,customers!$C$2:$C$1001,,,))</f>
        <v>rthickpennyfz@cafepress.com</v>
      </c>
      <c r="H577" s="9" t="str">
        <f>_xlfn.XLOOKUP(C577,customers!$A$2:$A$1001,customers!$G$2:$G$1001,"")</f>
        <v>United States</v>
      </c>
      <c r="I577" s="10" t="str">
        <f>INDEX(products!$A$2:$G$49,MATCH(orders!$D577,products!$A$2:$A$49,0),MATCH(orders!I$1,products!$A$1:$G$1,0))</f>
        <v>Lib</v>
      </c>
      <c r="J577" s="10" t="str">
        <f>INDEX(products!$A$2:$G$49,MATCH(orders!$D577,products!$A$2:$A$49,0),MATCH(orders!J$1,products!$A$1:$G$1,0))</f>
        <v>M</v>
      </c>
      <c r="K577" s="11">
        <f>INDEX(products!$A$2:$G$49,MATCH(orders!$D577,products!$A$2:$A$49,0),MATCH(orders!K$1,products!$A$1:$G$1,0))</f>
        <v>2.5</v>
      </c>
      <c r="L577" s="12">
        <f>INDEX(products!$A$2:$G$49,MATCH(orders!$D577,products!$A$2:$A$49,0),MATCH(orders!L$1,products!$A$1:$G$1,0))</f>
        <v>33.464999999999996</v>
      </c>
      <c r="M577" s="12">
        <f t="shared" si="24"/>
        <v>66.929999999999993</v>
      </c>
      <c r="N577" s="10" t="str">
        <f t="shared" si="25"/>
        <v>Liberica</v>
      </c>
      <c r="O577" s="10" t="str">
        <f t="shared" si="26"/>
        <v>Medium</v>
      </c>
      <c r="P577" s="10" t="str">
        <f>_xlfn.XLOOKUP(Tableau1[[#This Row],[Customer ID]],customers!A$2:A$1001,customers!I$2:I$1001)</f>
        <v>No</v>
      </c>
    </row>
    <row r="578" spans="1:16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9" t="str">
        <f>_xlfn.XLOOKUP(orders!C578,customers!$A$2:$A$1001,customers!$B$2:$B$1001)</f>
        <v>Phyllys Ormerod</v>
      </c>
      <c r="G578" s="9" t="str">
        <f>IF(_xlfn.XLOOKUP(orders!C578,customers!$A$2:$A$1001,customers!$C$2:$C$1001,,,)=0,"",_xlfn.XLOOKUP(orders!C578,customers!$A$2:$A$1001,customers!$C$2:$C$1001,,,))</f>
        <v>pormerodg0@redcross.org</v>
      </c>
      <c r="H578" s="9" t="str">
        <f>_xlfn.XLOOKUP(C578,customers!$A$2:$A$1001,customers!$G$2:$G$1001,"")</f>
        <v>United States</v>
      </c>
      <c r="I578" s="10" t="str">
        <f>INDEX(products!$A$2:$G$49,MATCH(orders!$D578,products!$A$2:$A$49,0),MATCH(orders!I$1,products!$A$1:$G$1,0))</f>
        <v>Ara</v>
      </c>
      <c r="J578" s="10" t="str">
        <f>INDEX(products!$A$2:$G$49,MATCH(orders!$D578,products!$A$2:$A$49,0),MATCH(orders!J$1,products!$A$1:$G$1,0))</f>
        <v>D</v>
      </c>
      <c r="K578" s="11">
        <f>INDEX(products!$A$2:$G$49,MATCH(orders!$D578,products!$A$2:$A$49,0),MATCH(orders!K$1,products!$A$1:$G$1,0))</f>
        <v>0.2</v>
      </c>
      <c r="L578" s="12">
        <f>INDEX(products!$A$2:$G$49,MATCH(orders!$D578,products!$A$2:$A$49,0),MATCH(orders!L$1,products!$A$1:$G$1,0))</f>
        <v>2.9849999999999999</v>
      </c>
      <c r="M578" s="12">
        <f t="shared" si="24"/>
        <v>17.91</v>
      </c>
      <c r="N578" s="10" t="str">
        <f t="shared" si="25"/>
        <v>Arabica</v>
      </c>
      <c r="O578" s="10" t="str">
        <f t="shared" si="26"/>
        <v>Dark</v>
      </c>
      <c r="P578" s="10" t="str">
        <f>_xlfn.XLOOKUP(Tableau1[[#This Row],[Customer ID]],customers!A$2:A$1001,customers!I$2:I$1001)</f>
        <v>No</v>
      </c>
    </row>
    <row r="579" spans="1:16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9" t="str">
        <f>_xlfn.XLOOKUP(orders!C579,customers!$A$2:$A$1001,customers!$B$2:$B$1001)</f>
        <v>Don Flintiff</v>
      </c>
      <c r="G579" s="9" t="str">
        <f>IF(_xlfn.XLOOKUP(orders!C579,customers!$A$2:$A$1001,customers!$C$2:$C$1001,,,)=0,"",_xlfn.XLOOKUP(orders!C579,customers!$A$2:$A$1001,customers!$C$2:$C$1001,,,))</f>
        <v>dflintiffg1@e-recht24.de</v>
      </c>
      <c r="H579" s="9" t="str">
        <f>_xlfn.XLOOKUP(C579,customers!$A$2:$A$1001,customers!$G$2:$G$1001,"")</f>
        <v>United Kingdom</v>
      </c>
      <c r="I579" s="10" t="str">
        <f>INDEX(products!$A$2:$G$49,MATCH(orders!$D579,products!$A$2:$A$49,0),MATCH(orders!I$1,products!$A$1:$G$1,0))</f>
        <v>Lib</v>
      </c>
      <c r="J579" s="10" t="str">
        <f>INDEX(products!$A$2:$G$49,MATCH(orders!$D579,products!$A$2:$A$49,0),MATCH(orders!J$1,products!$A$1:$G$1,0))</f>
        <v>M</v>
      </c>
      <c r="K579" s="11">
        <f>INDEX(products!$A$2:$G$49,MATCH(orders!$D579,products!$A$2:$A$49,0),MATCH(orders!K$1,products!$A$1:$G$1,0))</f>
        <v>1</v>
      </c>
      <c r="L579" s="12">
        <f>INDEX(products!$A$2:$G$49,MATCH(orders!$D579,products!$A$2:$A$49,0),MATCH(orders!L$1,products!$A$1:$G$1,0))</f>
        <v>14.55</v>
      </c>
      <c r="M579" s="12">
        <f t="shared" ref="M579:M642" si="27">L579*E579</f>
        <v>58.2</v>
      </c>
      <c r="N579" s="10" t="str">
        <f t="shared" ref="N579:N642" si="28">IF(I579="Rob","Robusta",IF(I579="Exc","Excelsa",IF(I579="Ara","Arabica",IF(I579="Lib","Liberica"))))</f>
        <v>Liberica</v>
      </c>
      <c r="O579" s="10" t="str">
        <f t="shared" ref="O579:O642" si="29">IF(J579="M","Medium",IF(J579="L","Light",IF(J579="D","Dark")))</f>
        <v>Medium</v>
      </c>
      <c r="P579" s="10" t="str">
        <f>_xlfn.XLOOKUP(Tableau1[[#This Row],[Customer ID]],customers!A$2:A$1001,customers!I$2:I$1001)</f>
        <v>No</v>
      </c>
    </row>
    <row r="580" spans="1:16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9" t="str">
        <f>_xlfn.XLOOKUP(orders!C580,customers!$A$2:$A$1001,customers!$B$2:$B$1001)</f>
        <v>Tymon Zanetti</v>
      </c>
      <c r="G580" s="9" t="str">
        <f>IF(_xlfn.XLOOKUP(orders!C580,customers!$A$2:$A$1001,customers!$C$2:$C$1001,,,)=0,"",_xlfn.XLOOKUP(orders!C580,customers!$A$2:$A$1001,customers!$C$2:$C$1001,,,))</f>
        <v>tzanettig2@gravatar.com</v>
      </c>
      <c r="H580" s="9" t="str">
        <f>_xlfn.XLOOKUP(C580,customers!$A$2:$A$1001,customers!$G$2:$G$1001,"")</f>
        <v>Ireland</v>
      </c>
      <c r="I580" s="10" t="str">
        <f>INDEX(products!$A$2:$G$49,MATCH(orders!$D580,products!$A$2:$A$49,0),MATCH(orders!I$1,products!$A$1:$G$1,0))</f>
        <v>Exc</v>
      </c>
      <c r="J580" s="10" t="str">
        <f>INDEX(products!$A$2:$G$49,MATCH(orders!$D580,products!$A$2:$A$49,0),MATCH(orders!J$1,products!$A$1:$G$1,0))</f>
        <v>L</v>
      </c>
      <c r="K580" s="11">
        <f>INDEX(products!$A$2:$G$49,MATCH(orders!$D580,products!$A$2:$A$49,0),MATCH(orders!K$1,products!$A$1:$G$1,0))</f>
        <v>0.2</v>
      </c>
      <c r="L580" s="12">
        <f>INDEX(products!$A$2:$G$49,MATCH(orders!$D580,products!$A$2:$A$49,0),MATCH(orders!L$1,products!$A$1:$G$1,0))</f>
        <v>4.4550000000000001</v>
      </c>
      <c r="M580" s="12">
        <f t="shared" si="27"/>
        <v>13.365</v>
      </c>
      <c r="N580" s="10" t="str">
        <f t="shared" si="28"/>
        <v>Excelsa</v>
      </c>
      <c r="O580" s="10" t="str">
        <f t="shared" si="29"/>
        <v>Light</v>
      </c>
      <c r="P580" s="10" t="str">
        <f>_xlfn.XLOOKUP(Tableau1[[#This Row],[Customer ID]],customers!A$2:A$1001,customers!I$2:I$1001)</f>
        <v>No</v>
      </c>
    </row>
    <row r="581" spans="1:16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9" t="str">
        <f>_xlfn.XLOOKUP(orders!C581,customers!$A$2:$A$1001,customers!$B$2:$B$1001)</f>
        <v>Tymon Zanetti</v>
      </c>
      <c r="G581" s="9" t="str">
        <f>IF(_xlfn.XLOOKUP(orders!C581,customers!$A$2:$A$1001,customers!$C$2:$C$1001,,,)=0,"",_xlfn.XLOOKUP(orders!C581,customers!$A$2:$A$1001,customers!$C$2:$C$1001,,,))</f>
        <v>tzanettig2@gravatar.com</v>
      </c>
      <c r="H581" s="9" t="str">
        <f>_xlfn.XLOOKUP(C581,customers!$A$2:$A$1001,customers!$G$2:$G$1001,"")</f>
        <v>Ireland</v>
      </c>
      <c r="I581" s="10" t="str">
        <f>INDEX(products!$A$2:$G$49,MATCH(orders!$D581,products!$A$2:$A$49,0),MATCH(orders!I$1,products!$A$1:$G$1,0))</f>
        <v>Ara</v>
      </c>
      <c r="J581" s="10" t="str">
        <f>INDEX(products!$A$2:$G$49,MATCH(orders!$D581,products!$A$2:$A$49,0),MATCH(orders!J$1,products!$A$1:$G$1,0))</f>
        <v>M</v>
      </c>
      <c r="K581" s="11">
        <f>INDEX(products!$A$2:$G$49,MATCH(orders!$D581,products!$A$2:$A$49,0),MATCH(orders!K$1,products!$A$1:$G$1,0))</f>
        <v>0.5</v>
      </c>
      <c r="L581" s="12">
        <f>INDEX(products!$A$2:$G$49,MATCH(orders!$D581,products!$A$2:$A$49,0),MATCH(orders!L$1,products!$A$1:$G$1,0))</f>
        <v>6.75</v>
      </c>
      <c r="M581" s="12">
        <f t="shared" si="27"/>
        <v>33.75</v>
      </c>
      <c r="N581" s="10" t="str">
        <f t="shared" si="28"/>
        <v>Arabica</v>
      </c>
      <c r="O581" s="10" t="str">
        <f t="shared" si="29"/>
        <v>Medium</v>
      </c>
      <c r="P581" s="10" t="str">
        <f>_xlfn.XLOOKUP(Tableau1[[#This Row],[Customer ID]],customers!A$2:A$1001,customers!I$2:I$1001)</f>
        <v>No</v>
      </c>
    </row>
    <row r="582" spans="1:16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9" t="str">
        <f>_xlfn.XLOOKUP(orders!C582,customers!$A$2:$A$1001,customers!$B$2:$B$1001)</f>
        <v>Reinaldos Kirtley</v>
      </c>
      <c r="G582" s="9" t="str">
        <f>IF(_xlfn.XLOOKUP(orders!C582,customers!$A$2:$A$1001,customers!$C$2:$C$1001,,,)=0,"",_xlfn.XLOOKUP(orders!C582,customers!$A$2:$A$1001,customers!$C$2:$C$1001,,,))</f>
        <v>rkirtleyg4@hatena.ne.jp</v>
      </c>
      <c r="H582" s="9" t="str">
        <f>_xlfn.XLOOKUP(C582,customers!$A$2:$A$1001,customers!$G$2:$G$1001,"")</f>
        <v>United States</v>
      </c>
      <c r="I582" s="10" t="str">
        <f>INDEX(products!$A$2:$G$49,MATCH(orders!$D582,products!$A$2:$A$49,0),MATCH(orders!I$1,products!$A$1:$G$1,0))</f>
        <v>Exc</v>
      </c>
      <c r="J582" s="10" t="str">
        <f>INDEX(products!$A$2:$G$49,MATCH(orders!$D582,products!$A$2:$A$49,0),MATCH(orders!J$1,products!$A$1:$G$1,0))</f>
        <v>L</v>
      </c>
      <c r="K582" s="11">
        <f>INDEX(products!$A$2:$G$49,MATCH(orders!$D582,products!$A$2:$A$49,0),MATCH(orders!K$1,products!$A$1:$G$1,0))</f>
        <v>1</v>
      </c>
      <c r="L582" s="12">
        <f>INDEX(products!$A$2:$G$49,MATCH(orders!$D582,products!$A$2:$A$49,0),MATCH(orders!L$1,products!$A$1:$G$1,0))</f>
        <v>14.85</v>
      </c>
      <c r="M582" s="12">
        <f t="shared" si="27"/>
        <v>44.55</v>
      </c>
      <c r="N582" s="10" t="str">
        <f t="shared" si="28"/>
        <v>Excelsa</v>
      </c>
      <c r="O582" s="10" t="str">
        <f t="shared" si="29"/>
        <v>Light</v>
      </c>
      <c r="P582" s="10" t="str">
        <f>_xlfn.XLOOKUP(Tableau1[[#This Row],[Customer ID]],customers!A$2:A$1001,customers!I$2:I$1001)</f>
        <v>Yes</v>
      </c>
    </row>
    <row r="583" spans="1:16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9" t="str">
        <f>_xlfn.XLOOKUP(orders!C583,customers!$A$2:$A$1001,customers!$B$2:$B$1001)</f>
        <v>Carney Clemencet</v>
      </c>
      <c r="G583" s="9" t="str">
        <f>IF(_xlfn.XLOOKUP(orders!C583,customers!$A$2:$A$1001,customers!$C$2:$C$1001,,,)=0,"",_xlfn.XLOOKUP(orders!C583,customers!$A$2:$A$1001,customers!$C$2:$C$1001,,,))</f>
        <v>cclemencetg5@weather.com</v>
      </c>
      <c r="H583" s="9" t="str">
        <f>_xlfn.XLOOKUP(C583,customers!$A$2:$A$1001,customers!$G$2:$G$1001,"")</f>
        <v>United Kingdom</v>
      </c>
      <c r="I583" s="10" t="str">
        <f>INDEX(products!$A$2:$G$49,MATCH(orders!$D583,products!$A$2:$A$49,0),MATCH(orders!I$1,products!$A$1:$G$1,0))</f>
        <v>Exc</v>
      </c>
      <c r="J583" s="10" t="str">
        <f>INDEX(products!$A$2:$G$49,MATCH(orders!$D583,products!$A$2:$A$49,0),MATCH(orders!J$1,products!$A$1:$G$1,0))</f>
        <v>L</v>
      </c>
      <c r="K583" s="11">
        <f>INDEX(products!$A$2:$G$49,MATCH(orders!$D583,products!$A$2:$A$49,0),MATCH(orders!K$1,products!$A$1:$G$1,0))</f>
        <v>0.5</v>
      </c>
      <c r="L583" s="12">
        <f>INDEX(products!$A$2:$G$49,MATCH(orders!$D583,products!$A$2:$A$49,0),MATCH(orders!L$1,products!$A$1:$G$1,0))</f>
        <v>8.91</v>
      </c>
      <c r="M583" s="12">
        <f t="shared" si="27"/>
        <v>44.55</v>
      </c>
      <c r="N583" s="10" t="str">
        <f t="shared" si="28"/>
        <v>Excelsa</v>
      </c>
      <c r="O583" s="10" t="str">
        <f t="shared" si="29"/>
        <v>Light</v>
      </c>
      <c r="P583" s="10" t="str">
        <f>_xlfn.XLOOKUP(Tableau1[[#This Row],[Customer ID]],customers!A$2:A$1001,customers!I$2:I$1001)</f>
        <v>Yes</v>
      </c>
    </row>
    <row r="584" spans="1:16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9" t="str">
        <f>_xlfn.XLOOKUP(orders!C584,customers!$A$2:$A$1001,customers!$B$2:$B$1001)</f>
        <v>Russell Donet</v>
      </c>
      <c r="G584" s="9" t="str">
        <f>IF(_xlfn.XLOOKUP(orders!C584,customers!$A$2:$A$1001,customers!$C$2:$C$1001,,,)=0,"",_xlfn.XLOOKUP(orders!C584,customers!$A$2:$A$1001,customers!$C$2:$C$1001,,,))</f>
        <v>rdonetg6@oakley.com</v>
      </c>
      <c r="H584" s="9" t="str">
        <f>_xlfn.XLOOKUP(C584,customers!$A$2:$A$1001,customers!$G$2:$G$1001,"")</f>
        <v>United States</v>
      </c>
      <c r="I584" s="10" t="str">
        <f>INDEX(products!$A$2:$G$49,MATCH(orders!$D584,products!$A$2:$A$49,0),MATCH(orders!I$1,products!$A$1:$G$1,0))</f>
        <v>Exc</v>
      </c>
      <c r="J584" s="10" t="str">
        <f>INDEX(products!$A$2:$G$49,MATCH(orders!$D584,products!$A$2:$A$49,0),MATCH(orders!J$1,products!$A$1:$G$1,0))</f>
        <v>D</v>
      </c>
      <c r="K584" s="11">
        <f>INDEX(products!$A$2:$G$49,MATCH(orders!$D584,products!$A$2:$A$49,0),MATCH(orders!K$1,products!$A$1:$G$1,0))</f>
        <v>1</v>
      </c>
      <c r="L584" s="12">
        <f>INDEX(products!$A$2:$G$49,MATCH(orders!$D584,products!$A$2:$A$49,0),MATCH(orders!L$1,products!$A$1:$G$1,0))</f>
        <v>12.15</v>
      </c>
      <c r="M584" s="12">
        <f t="shared" si="27"/>
        <v>60.75</v>
      </c>
      <c r="N584" s="10" t="str">
        <f t="shared" si="28"/>
        <v>Excelsa</v>
      </c>
      <c r="O584" s="10" t="str">
        <f t="shared" si="29"/>
        <v>Dark</v>
      </c>
      <c r="P584" s="10" t="str">
        <f>_xlfn.XLOOKUP(Tableau1[[#This Row],[Customer ID]],customers!A$2:A$1001,customers!I$2:I$1001)</f>
        <v>No</v>
      </c>
    </row>
    <row r="585" spans="1:16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9" t="str">
        <f>_xlfn.XLOOKUP(orders!C585,customers!$A$2:$A$1001,customers!$B$2:$B$1001)</f>
        <v>Sidney Gawen</v>
      </c>
      <c r="G585" s="9" t="str">
        <f>IF(_xlfn.XLOOKUP(orders!C585,customers!$A$2:$A$1001,customers!$C$2:$C$1001,,,)=0,"",_xlfn.XLOOKUP(orders!C585,customers!$A$2:$A$1001,customers!$C$2:$C$1001,,,))</f>
        <v>sgaweng7@creativecommons.org</v>
      </c>
      <c r="H585" s="9" t="str">
        <f>_xlfn.XLOOKUP(C585,customers!$A$2:$A$1001,customers!$G$2:$G$1001,"")</f>
        <v>United States</v>
      </c>
      <c r="I585" s="10" t="str">
        <f>INDEX(products!$A$2:$G$49,MATCH(orders!$D585,products!$A$2:$A$49,0),MATCH(orders!I$1,products!$A$1:$G$1,0))</f>
        <v>Rob</v>
      </c>
      <c r="J585" s="10" t="str">
        <f>INDEX(products!$A$2:$G$49,MATCH(orders!$D585,products!$A$2:$A$49,0),MATCH(orders!J$1,products!$A$1:$G$1,0))</f>
        <v>L</v>
      </c>
      <c r="K585" s="11">
        <f>INDEX(products!$A$2:$G$49,MATCH(orders!$D585,products!$A$2:$A$49,0),MATCH(orders!K$1,products!$A$1:$G$1,0))</f>
        <v>0.2</v>
      </c>
      <c r="L585" s="12">
        <f>INDEX(products!$A$2:$G$49,MATCH(orders!$D585,products!$A$2:$A$49,0),MATCH(orders!L$1,products!$A$1:$G$1,0))</f>
        <v>3.5849999999999995</v>
      </c>
      <c r="M585" s="12">
        <f t="shared" si="27"/>
        <v>3.5849999999999995</v>
      </c>
      <c r="N585" s="10" t="str">
        <f t="shared" si="28"/>
        <v>Robusta</v>
      </c>
      <c r="O585" s="10" t="str">
        <f t="shared" si="29"/>
        <v>Light</v>
      </c>
      <c r="P585" s="10" t="str">
        <f>_xlfn.XLOOKUP(Tableau1[[#This Row],[Customer ID]],customers!A$2:A$1001,customers!I$2:I$1001)</f>
        <v>Yes</v>
      </c>
    </row>
    <row r="586" spans="1:16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9" t="str">
        <f>_xlfn.XLOOKUP(orders!C586,customers!$A$2:$A$1001,customers!$B$2:$B$1001)</f>
        <v>Rickey Readie</v>
      </c>
      <c r="G586" s="9" t="str">
        <f>IF(_xlfn.XLOOKUP(orders!C586,customers!$A$2:$A$1001,customers!$C$2:$C$1001,,,)=0,"",_xlfn.XLOOKUP(orders!C586,customers!$A$2:$A$1001,customers!$C$2:$C$1001,,,))</f>
        <v>rreadieg8@guardian.co.uk</v>
      </c>
      <c r="H586" s="9" t="str">
        <f>_xlfn.XLOOKUP(C586,customers!$A$2:$A$1001,customers!$G$2:$G$1001,"")</f>
        <v>United States</v>
      </c>
      <c r="I586" s="10" t="str">
        <f>INDEX(products!$A$2:$G$49,MATCH(orders!$D586,products!$A$2:$A$49,0),MATCH(orders!I$1,products!$A$1:$G$1,0))</f>
        <v>Rob</v>
      </c>
      <c r="J586" s="10" t="str">
        <f>INDEX(products!$A$2:$G$49,MATCH(orders!$D586,products!$A$2:$A$49,0),MATCH(orders!J$1,products!$A$1:$G$1,0))</f>
        <v>L</v>
      </c>
      <c r="K586" s="11">
        <f>INDEX(products!$A$2:$G$49,MATCH(orders!$D586,products!$A$2:$A$49,0),MATCH(orders!K$1,products!$A$1:$G$1,0))</f>
        <v>0.2</v>
      </c>
      <c r="L586" s="12">
        <f>INDEX(products!$A$2:$G$49,MATCH(orders!$D586,products!$A$2:$A$49,0),MATCH(orders!L$1,products!$A$1:$G$1,0))</f>
        <v>3.5849999999999995</v>
      </c>
      <c r="M586" s="12">
        <f t="shared" si="27"/>
        <v>21.509999999999998</v>
      </c>
      <c r="N586" s="10" t="str">
        <f t="shared" si="28"/>
        <v>Robusta</v>
      </c>
      <c r="O586" s="10" t="str">
        <f t="shared" si="29"/>
        <v>Light</v>
      </c>
      <c r="P586" s="10" t="str">
        <f>_xlfn.XLOOKUP(Tableau1[[#This Row],[Customer ID]],customers!A$2:A$1001,customers!I$2:I$1001)</f>
        <v>No</v>
      </c>
    </row>
    <row r="587" spans="1:16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9" t="str">
        <f>_xlfn.XLOOKUP(orders!C587,customers!$A$2:$A$1001,customers!$B$2:$B$1001)</f>
        <v>Cody Verissimo</v>
      </c>
      <c r="G587" s="9" t="str">
        <f>IF(_xlfn.XLOOKUP(orders!C587,customers!$A$2:$A$1001,customers!$C$2:$C$1001,,,)=0,"",_xlfn.XLOOKUP(orders!C587,customers!$A$2:$A$1001,customers!$C$2:$C$1001,,,))</f>
        <v>cverissimogh@theglobeandmail.com</v>
      </c>
      <c r="H587" s="9" t="str">
        <f>_xlfn.XLOOKUP(C587,customers!$A$2:$A$1001,customers!$G$2:$G$1001,"")</f>
        <v>United Kingdom</v>
      </c>
      <c r="I587" s="10" t="str">
        <f>INDEX(products!$A$2:$G$49,MATCH(orders!$D587,products!$A$2:$A$49,0),MATCH(orders!I$1,products!$A$1:$G$1,0))</f>
        <v>Exc</v>
      </c>
      <c r="J587" s="10" t="str">
        <f>INDEX(products!$A$2:$G$49,MATCH(orders!$D587,products!$A$2:$A$49,0),MATCH(orders!J$1,products!$A$1:$G$1,0))</f>
        <v>M</v>
      </c>
      <c r="K587" s="11">
        <f>INDEX(products!$A$2:$G$49,MATCH(orders!$D587,products!$A$2:$A$49,0),MATCH(orders!K$1,products!$A$1:$G$1,0))</f>
        <v>0.5</v>
      </c>
      <c r="L587" s="12">
        <f>INDEX(products!$A$2:$G$49,MATCH(orders!$D587,products!$A$2:$A$49,0),MATCH(orders!L$1,products!$A$1:$G$1,0))</f>
        <v>8.25</v>
      </c>
      <c r="M587" s="12">
        <f t="shared" si="27"/>
        <v>16.5</v>
      </c>
      <c r="N587" s="10" t="str">
        <f t="shared" si="28"/>
        <v>Excelsa</v>
      </c>
      <c r="O587" s="10" t="str">
        <f t="shared" si="29"/>
        <v>Medium</v>
      </c>
      <c r="P587" s="10" t="str">
        <f>_xlfn.XLOOKUP(Tableau1[[#This Row],[Customer ID]],customers!A$2:A$1001,customers!I$2:I$1001)</f>
        <v>Yes</v>
      </c>
    </row>
    <row r="588" spans="1:16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9" t="str">
        <f>_xlfn.XLOOKUP(orders!C588,customers!$A$2:$A$1001,customers!$B$2:$B$1001)</f>
        <v>Zilvia Claisse</v>
      </c>
      <c r="G588" s="9" t="str">
        <f>IF(_xlfn.XLOOKUP(orders!C588,customers!$A$2:$A$1001,customers!$C$2:$C$1001,,,)=0,"",_xlfn.XLOOKUP(orders!C588,customers!$A$2:$A$1001,customers!$C$2:$C$1001,,,))</f>
        <v/>
      </c>
      <c r="H588" s="9" t="str">
        <f>_xlfn.XLOOKUP(C588,customers!$A$2:$A$1001,customers!$G$2:$G$1001,"")</f>
        <v>United States</v>
      </c>
      <c r="I588" s="10" t="str">
        <f>INDEX(products!$A$2:$G$49,MATCH(orders!$D588,products!$A$2:$A$49,0),MATCH(orders!I$1,products!$A$1:$G$1,0))</f>
        <v>Rob</v>
      </c>
      <c r="J588" s="10" t="str">
        <f>INDEX(products!$A$2:$G$49,MATCH(orders!$D588,products!$A$2:$A$49,0),MATCH(orders!J$1,products!$A$1:$G$1,0))</f>
        <v>L</v>
      </c>
      <c r="K588" s="11">
        <f>INDEX(products!$A$2:$G$49,MATCH(orders!$D588,products!$A$2:$A$49,0),MATCH(orders!K$1,products!$A$1:$G$1,0))</f>
        <v>2.5</v>
      </c>
      <c r="L588" s="12">
        <f>INDEX(products!$A$2:$G$49,MATCH(orders!$D588,products!$A$2:$A$49,0),MATCH(orders!L$1,products!$A$1:$G$1,0))</f>
        <v>27.484999999999996</v>
      </c>
      <c r="M588" s="12">
        <f t="shared" si="27"/>
        <v>82.454999999999984</v>
      </c>
      <c r="N588" s="10" t="str">
        <f t="shared" si="28"/>
        <v>Robusta</v>
      </c>
      <c r="O588" s="10" t="str">
        <f t="shared" si="29"/>
        <v>Light</v>
      </c>
      <c r="P588" s="10" t="str">
        <f>_xlfn.XLOOKUP(Tableau1[[#This Row],[Customer ID]],customers!A$2:A$1001,customers!I$2:I$1001)</f>
        <v>No</v>
      </c>
    </row>
    <row r="589" spans="1:16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9" t="str">
        <f>_xlfn.XLOOKUP(orders!C589,customers!$A$2:$A$1001,customers!$B$2:$B$1001)</f>
        <v>Bar O' Mahony</v>
      </c>
      <c r="G589" s="9" t="str">
        <f>IF(_xlfn.XLOOKUP(orders!C589,customers!$A$2:$A$1001,customers!$C$2:$C$1001,,,)=0,"",_xlfn.XLOOKUP(orders!C589,customers!$A$2:$A$1001,customers!$C$2:$C$1001,,,))</f>
        <v>bogb@elpais.com</v>
      </c>
      <c r="H589" s="9" t="str">
        <f>_xlfn.XLOOKUP(C589,customers!$A$2:$A$1001,customers!$G$2:$G$1001,"")</f>
        <v>United States</v>
      </c>
      <c r="I589" s="10" t="str">
        <f>INDEX(products!$A$2:$G$49,MATCH(orders!$D589,products!$A$2:$A$49,0),MATCH(orders!I$1,products!$A$1:$G$1,0))</f>
        <v>Lib</v>
      </c>
      <c r="J589" s="10" t="str">
        <f>INDEX(products!$A$2:$G$49,MATCH(orders!$D589,products!$A$2:$A$49,0),MATCH(orders!J$1,products!$A$1:$G$1,0))</f>
        <v>D</v>
      </c>
      <c r="K589" s="11">
        <f>INDEX(products!$A$2:$G$49,MATCH(orders!$D589,products!$A$2:$A$49,0),MATCH(orders!K$1,products!$A$1:$G$1,0))</f>
        <v>0.5</v>
      </c>
      <c r="L589" s="12">
        <f>INDEX(products!$A$2:$G$49,MATCH(orders!$D589,products!$A$2:$A$49,0),MATCH(orders!L$1,products!$A$1:$G$1,0))</f>
        <v>7.77</v>
      </c>
      <c r="M589" s="12">
        <f t="shared" si="27"/>
        <v>7.77</v>
      </c>
      <c r="N589" s="10" t="str">
        <f t="shared" si="28"/>
        <v>Liberica</v>
      </c>
      <c r="O589" s="10" t="str">
        <f t="shared" si="29"/>
        <v>Dark</v>
      </c>
      <c r="P589" s="10" t="str">
        <f>_xlfn.XLOOKUP(Tableau1[[#This Row],[Customer ID]],customers!A$2:A$1001,customers!I$2:I$1001)</f>
        <v>Yes</v>
      </c>
    </row>
    <row r="590" spans="1:16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9" t="str">
        <f>_xlfn.XLOOKUP(orders!C590,customers!$A$2:$A$1001,customers!$B$2:$B$1001)</f>
        <v>Valenka Stansbury</v>
      </c>
      <c r="G590" s="9" t="str">
        <f>IF(_xlfn.XLOOKUP(orders!C590,customers!$A$2:$A$1001,customers!$C$2:$C$1001,,,)=0,"",_xlfn.XLOOKUP(orders!C590,customers!$A$2:$A$1001,customers!$C$2:$C$1001,,,))</f>
        <v>vstansburygc@unblog.fr</v>
      </c>
      <c r="H590" s="9" t="str">
        <f>_xlfn.XLOOKUP(C590,customers!$A$2:$A$1001,customers!$G$2:$G$1001,"")</f>
        <v>United States</v>
      </c>
      <c r="I590" s="10" t="str">
        <f>INDEX(products!$A$2:$G$49,MATCH(orders!$D590,products!$A$2:$A$49,0),MATCH(orders!I$1,products!$A$1:$G$1,0))</f>
        <v>Rob</v>
      </c>
      <c r="J590" s="10" t="str">
        <f>INDEX(products!$A$2:$G$49,MATCH(orders!$D590,products!$A$2:$A$49,0),MATCH(orders!J$1,products!$A$1:$G$1,0))</f>
        <v>M</v>
      </c>
      <c r="K590" s="11">
        <f>INDEX(products!$A$2:$G$49,MATCH(orders!$D590,products!$A$2:$A$49,0),MATCH(orders!K$1,products!$A$1:$G$1,0))</f>
        <v>0.5</v>
      </c>
      <c r="L590" s="12">
        <f>INDEX(products!$A$2:$G$49,MATCH(orders!$D590,products!$A$2:$A$49,0),MATCH(orders!L$1,products!$A$1:$G$1,0))</f>
        <v>5.97</v>
      </c>
      <c r="M590" s="12">
        <f t="shared" si="27"/>
        <v>11.94</v>
      </c>
      <c r="N590" s="10" t="str">
        <f t="shared" si="28"/>
        <v>Robusta</v>
      </c>
      <c r="O590" s="10" t="str">
        <f t="shared" si="29"/>
        <v>Medium</v>
      </c>
      <c r="P590" s="10" t="str">
        <f>_xlfn.XLOOKUP(Tableau1[[#This Row],[Customer ID]],customers!A$2:A$1001,customers!I$2:I$1001)</f>
        <v>Yes</v>
      </c>
    </row>
    <row r="591" spans="1:16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9" t="str">
        <f>_xlfn.XLOOKUP(orders!C591,customers!$A$2:$A$1001,customers!$B$2:$B$1001)</f>
        <v>Daniel Heinonen</v>
      </c>
      <c r="G591" s="9" t="str">
        <f>IF(_xlfn.XLOOKUP(orders!C591,customers!$A$2:$A$1001,customers!$C$2:$C$1001,,,)=0,"",_xlfn.XLOOKUP(orders!C591,customers!$A$2:$A$1001,customers!$C$2:$C$1001,,,))</f>
        <v>dheinonengd@printfriendly.com</v>
      </c>
      <c r="H591" s="9" t="str">
        <f>_xlfn.XLOOKUP(C591,customers!$A$2:$A$1001,customers!$G$2:$G$1001,"")</f>
        <v>United States</v>
      </c>
      <c r="I591" s="10" t="str">
        <f>INDEX(products!$A$2:$G$49,MATCH(orders!$D591,products!$A$2:$A$49,0),MATCH(orders!I$1,products!$A$1:$G$1,0))</f>
        <v>Exc</v>
      </c>
      <c r="J591" s="10" t="str">
        <f>INDEX(products!$A$2:$G$49,MATCH(orders!$D591,products!$A$2:$A$49,0),MATCH(orders!J$1,products!$A$1:$G$1,0))</f>
        <v>L</v>
      </c>
      <c r="K591" s="11">
        <f>INDEX(products!$A$2:$G$49,MATCH(orders!$D591,products!$A$2:$A$49,0),MATCH(orders!K$1,products!$A$1:$G$1,0))</f>
        <v>2.5</v>
      </c>
      <c r="L591" s="12">
        <f>INDEX(products!$A$2:$G$49,MATCH(orders!$D591,products!$A$2:$A$49,0),MATCH(orders!L$1,products!$A$1:$G$1,0))</f>
        <v>34.154999999999994</v>
      </c>
      <c r="M591" s="12">
        <f t="shared" si="27"/>
        <v>204.92999999999995</v>
      </c>
      <c r="N591" s="10" t="str">
        <f t="shared" si="28"/>
        <v>Excelsa</v>
      </c>
      <c r="O591" s="10" t="str">
        <f t="shared" si="29"/>
        <v>Light</v>
      </c>
      <c r="P591" s="10" t="str">
        <f>_xlfn.XLOOKUP(Tableau1[[#This Row],[Customer ID]],customers!A$2:A$1001,customers!I$2:I$1001)</f>
        <v>No</v>
      </c>
    </row>
    <row r="592" spans="1:16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9" t="str">
        <f>_xlfn.XLOOKUP(orders!C592,customers!$A$2:$A$1001,customers!$B$2:$B$1001)</f>
        <v>Jewelle Shenton</v>
      </c>
      <c r="G592" s="9" t="str">
        <f>IF(_xlfn.XLOOKUP(orders!C592,customers!$A$2:$A$1001,customers!$C$2:$C$1001,,,)=0,"",_xlfn.XLOOKUP(orders!C592,customers!$A$2:$A$1001,customers!$C$2:$C$1001,,,))</f>
        <v>jshentonge@google.com.hk</v>
      </c>
      <c r="H592" s="9" t="str">
        <f>_xlfn.XLOOKUP(C592,customers!$A$2:$A$1001,customers!$G$2:$G$1001,"")</f>
        <v>United States</v>
      </c>
      <c r="I592" s="10" t="str">
        <f>INDEX(products!$A$2:$G$49,MATCH(orders!$D592,products!$A$2:$A$49,0),MATCH(orders!I$1,products!$A$1:$G$1,0))</f>
        <v>Exc</v>
      </c>
      <c r="J592" s="10" t="str">
        <f>INDEX(products!$A$2:$G$49,MATCH(orders!$D592,products!$A$2:$A$49,0),MATCH(orders!J$1,products!$A$1:$G$1,0))</f>
        <v>M</v>
      </c>
      <c r="K592" s="11">
        <f>INDEX(products!$A$2:$G$49,MATCH(orders!$D592,products!$A$2:$A$49,0),MATCH(orders!K$1,products!$A$1:$G$1,0))</f>
        <v>2.5</v>
      </c>
      <c r="L592" s="12">
        <f>INDEX(products!$A$2:$G$49,MATCH(orders!$D592,products!$A$2:$A$49,0),MATCH(orders!L$1,products!$A$1:$G$1,0))</f>
        <v>31.624999999999996</v>
      </c>
      <c r="M592" s="12">
        <f t="shared" si="27"/>
        <v>63.249999999999993</v>
      </c>
      <c r="N592" s="10" t="str">
        <f t="shared" si="28"/>
        <v>Excelsa</v>
      </c>
      <c r="O592" s="10" t="str">
        <f t="shared" si="29"/>
        <v>Medium</v>
      </c>
      <c r="P592" s="10" t="str">
        <f>_xlfn.XLOOKUP(Tableau1[[#This Row],[Customer ID]],customers!A$2:A$1001,customers!I$2:I$1001)</f>
        <v>Yes</v>
      </c>
    </row>
    <row r="593" spans="1:16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9" t="str">
        <f>_xlfn.XLOOKUP(orders!C593,customers!$A$2:$A$1001,customers!$B$2:$B$1001)</f>
        <v>Jennifer Wilkisson</v>
      </c>
      <c r="G593" s="9" t="str">
        <f>IF(_xlfn.XLOOKUP(orders!C593,customers!$A$2:$A$1001,customers!$C$2:$C$1001,,,)=0,"",_xlfn.XLOOKUP(orders!C593,customers!$A$2:$A$1001,customers!$C$2:$C$1001,,,))</f>
        <v>jwilkissongf@nba.com</v>
      </c>
      <c r="H593" s="9" t="str">
        <f>_xlfn.XLOOKUP(C593,customers!$A$2:$A$1001,customers!$G$2:$G$1001,"")</f>
        <v>United States</v>
      </c>
      <c r="I593" s="10" t="str">
        <f>INDEX(products!$A$2:$G$49,MATCH(orders!$D593,products!$A$2:$A$49,0),MATCH(orders!I$1,products!$A$1:$G$1,0))</f>
        <v>Rob</v>
      </c>
      <c r="J593" s="10" t="str">
        <f>INDEX(products!$A$2:$G$49,MATCH(orders!$D593,products!$A$2:$A$49,0),MATCH(orders!J$1,products!$A$1:$G$1,0))</f>
        <v>D</v>
      </c>
      <c r="K593" s="11">
        <f>INDEX(products!$A$2:$G$49,MATCH(orders!$D593,products!$A$2:$A$49,0),MATCH(orders!K$1,products!$A$1:$G$1,0))</f>
        <v>0.2</v>
      </c>
      <c r="L593" s="12">
        <f>INDEX(products!$A$2:$G$49,MATCH(orders!$D593,products!$A$2:$A$49,0),MATCH(orders!L$1,products!$A$1:$G$1,0))</f>
        <v>2.6849999999999996</v>
      </c>
      <c r="M593" s="12">
        <f t="shared" si="27"/>
        <v>8.0549999999999997</v>
      </c>
      <c r="N593" s="10" t="str">
        <f t="shared" si="28"/>
        <v>Robusta</v>
      </c>
      <c r="O593" s="10" t="str">
        <f t="shared" si="29"/>
        <v>Dark</v>
      </c>
      <c r="P593" s="10" t="str">
        <f>_xlfn.XLOOKUP(Tableau1[[#This Row],[Customer ID]],customers!A$2:A$1001,customers!I$2:I$1001)</f>
        <v>Yes</v>
      </c>
    </row>
    <row r="594" spans="1:16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9" t="str">
        <f>_xlfn.XLOOKUP(orders!C594,customers!$A$2:$A$1001,customers!$B$2:$B$1001)</f>
        <v>Kylie Mowat</v>
      </c>
      <c r="G594" s="9" t="str">
        <f>IF(_xlfn.XLOOKUP(orders!C594,customers!$A$2:$A$1001,customers!$C$2:$C$1001,,,)=0,"",_xlfn.XLOOKUP(orders!C594,customers!$A$2:$A$1001,customers!$C$2:$C$1001,,,))</f>
        <v/>
      </c>
      <c r="H594" s="9" t="str">
        <f>_xlfn.XLOOKUP(C594,customers!$A$2:$A$1001,customers!$G$2:$G$1001,"")</f>
        <v>United States</v>
      </c>
      <c r="I594" s="10" t="str">
        <f>INDEX(products!$A$2:$G$49,MATCH(orders!$D594,products!$A$2:$A$49,0),MATCH(orders!I$1,products!$A$1:$G$1,0))</f>
        <v>Ara</v>
      </c>
      <c r="J594" s="10" t="str">
        <f>INDEX(products!$A$2:$G$49,MATCH(orders!$D594,products!$A$2:$A$49,0),MATCH(orders!J$1,products!$A$1:$G$1,0))</f>
        <v>M</v>
      </c>
      <c r="K594" s="11">
        <f>INDEX(products!$A$2:$G$49,MATCH(orders!$D594,products!$A$2:$A$49,0),MATCH(orders!K$1,products!$A$1:$G$1,0))</f>
        <v>2.5</v>
      </c>
      <c r="L594" s="12">
        <f>INDEX(products!$A$2:$G$49,MATCH(orders!$D594,products!$A$2:$A$49,0),MATCH(orders!L$1,products!$A$1:$G$1,0))</f>
        <v>25.874999999999996</v>
      </c>
      <c r="M594" s="12">
        <f t="shared" si="27"/>
        <v>51.749999999999993</v>
      </c>
      <c r="N594" s="10" t="str">
        <f t="shared" si="28"/>
        <v>Arabica</v>
      </c>
      <c r="O594" s="10" t="str">
        <f t="shared" si="29"/>
        <v>Medium</v>
      </c>
      <c r="P594" s="10" t="str">
        <f>_xlfn.XLOOKUP(Tableau1[[#This Row],[Customer ID]],customers!A$2:A$1001,customers!I$2:I$1001)</f>
        <v>No</v>
      </c>
    </row>
    <row r="595" spans="1:16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9" t="str">
        <f>_xlfn.XLOOKUP(orders!C595,customers!$A$2:$A$1001,customers!$B$2:$B$1001)</f>
        <v>Cody Verissimo</v>
      </c>
      <c r="G595" s="9" t="str">
        <f>IF(_xlfn.XLOOKUP(orders!C595,customers!$A$2:$A$1001,customers!$C$2:$C$1001,,,)=0,"",_xlfn.XLOOKUP(orders!C595,customers!$A$2:$A$1001,customers!$C$2:$C$1001,,,))</f>
        <v>cverissimogh@theglobeandmail.com</v>
      </c>
      <c r="H595" s="9" t="str">
        <f>_xlfn.XLOOKUP(C595,customers!$A$2:$A$1001,customers!$G$2:$G$1001,"")</f>
        <v>United Kingdom</v>
      </c>
      <c r="I595" s="10" t="str">
        <f>INDEX(products!$A$2:$G$49,MATCH(orders!$D595,products!$A$2:$A$49,0),MATCH(orders!I$1,products!$A$1:$G$1,0))</f>
        <v>Exc</v>
      </c>
      <c r="J595" s="10" t="str">
        <f>INDEX(products!$A$2:$G$49,MATCH(orders!$D595,products!$A$2:$A$49,0),MATCH(orders!J$1,products!$A$1:$G$1,0))</f>
        <v>D</v>
      </c>
      <c r="K595" s="11">
        <f>INDEX(products!$A$2:$G$49,MATCH(orders!$D595,products!$A$2:$A$49,0),MATCH(orders!K$1,products!$A$1:$G$1,0))</f>
        <v>2.5</v>
      </c>
      <c r="L595" s="12">
        <f>INDEX(products!$A$2:$G$49,MATCH(orders!$D595,products!$A$2:$A$49,0),MATCH(orders!L$1,products!$A$1:$G$1,0))</f>
        <v>27.945</v>
      </c>
      <c r="M595" s="12">
        <f t="shared" si="27"/>
        <v>27.945</v>
      </c>
      <c r="N595" s="10" t="str">
        <f t="shared" si="28"/>
        <v>Excelsa</v>
      </c>
      <c r="O595" s="10" t="str">
        <f t="shared" si="29"/>
        <v>Dark</v>
      </c>
      <c r="P595" s="10" t="str">
        <f>_xlfn.XLOOKUP(Tableau1[[#This Row],[Customer ID]],customers!A$2:A$1001,customers!I$2:I$1001)</f>
        <v>Yes</v>
      </c>
    </row>
    <row r="596" spans="1:16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9" t="str">
        <f>_xlfn.XLOOKUP(orders!C596,customers!$A$2:$A$1001,customers!$B$2:$B$1001)</f>
        <v>Gabriel Starcks</v>
      </c>
      <c r="G596" s="9" t="str">
        <f>IF(_xlfn.XLOOKUP(orders!C596,customers!$A$2:$A$1001,customers!$C$2:$C$1001,,,)=0,"",_xlfn.XLOOKUP(orders!C596,customers!$A$2:$A$1001,customers!$C$2:$C$1001,,,))</f>
        <v>gstarcksgi@abc.net.au</v>
      </c>
      <c r="H596" s="9" t="str">
        <f>_xlfn.XLOOKUP(C596,customers!$A$2:$A$1001,customers!$G$2:$G$1001,"")</f>
        <v>United States</v>
      </c>
      <c r="I596" s="10" t="str">
        <f>INDEX(products!$A$2:$G$49,MATCH(orders!$D596,products!$A$2:$A$49,0),MATCH(orders!I$1,products!$A$1:$G$1,0))</f>
        <v>Ara</v>
      </c>
      <c r="J596" s="10" t="str">
        <f>INDEX(products!$A$2:$G$49,MATCH(orders!$D596,products!$A$2:$A$49,0),MATCH(orders!J$1,products!$A$1:$G$1,0))</f>
        <v>L</v>
      </c>
      <c r="K596" s="11">
        <f>INDEX(products!$A$2:$G$49,MATCH(orders!$D596,products!$A$2:$A$49,0),MATCH(orders!K$1,products!$A$1:$G$1,0))</f>
        <v>2.5</v>
      </c>
      <c r="L596" s="12">
        <f>INDEX(products!$A$2:$G$49,MATCH(orders!$D596,products!$A$2:$A$49,0),MATCH(orders!L$1,products!$A$1:$G$1,0))</f>
        <v>29.784999999999997</v>
      </c>
      <c r="M596" s="12">
        <f t="shared" si="27"/>
        <v>59.569999999999993</v>
      </c>
      <c r="N596" s="10" t="str">
        <f t="shared" si="28"/>
        <v>Arabica</v>
      </c>
      <c r="O596" s="10" t="str">
        <f t="shared" si="29"/>
        <v>Light</v>
      </c>
      <c r="P596" s="10" t="str">
        <f>_xlfn.XLOOKUP(Tableau1[[#This Row],[Customer ID]],customers!A$2:A$1001,customers!I$2:I$1001)</f>
        <v>No</v>
      </c>
    </row>
    <row r="597" spans="1:16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9" t="str">
        <f>_xlfn.XLOOKUP(orders!C597,customers!$A$2:$A$1001,customers!$B$2:$B$1001)</f>
        <v>Darby Dummer</v>
      </c>
      <c r="G597" s="9" t="str">
        <f>IF(_xlfn.XLOOKUP(orders!C597,customers!$A$2:$A$1001,customers!$C$2:$C$1001,,,)=0,"",_xlfn.XLOOKUP(orders!C597,customers!$A$2:$A$1001,customers!$C$2:$C$1001,,,))</f>
        <v/>
      </c>
      <c r="H597" s="9" t="str">
        <f>_xlfn.XLOOKUP(C597,customers!$A$2:$A$1001,customers!$G$2:$G$1001,"")</f>
        <v>United Kingdom</v>
      </c>
      <c r="I597" s="10" t="str">
        <f>INDEX(products!$A$2:$G$49,MATCH(orders!$D597,products!$A$2:$A$49,0),MATCH(orders!I$1,products!$A$1:$G$1,0))</f>
        <v>Exc</v>
      </c>
      <c r="J597" s="10" t="str">
        <f>INDEX(products!$A$2:$G$49,MATCH(orders!$D597,products!$A$2:$A$49,0),MATCH(orders!J$1,products!$A$1:$G$1,0))</f>
        <v>L</v>
      </c>
      <c r="K597" s="11">
        <f>INDEX(products!$A$2:$G$49,MATCH(orders!$D597,products!$A$2:$A$49,0),MATCH(orders!K$1,products!$A$1:$G$1,0))</f>
        <v>1</v>
      </c>
      <c r="L597" s="12">
        <f>INDEX(products!$A$2:$G$49,MATCH(orders!$D597,products!$A$2:$A$49,0),MATCH(orders!L$1,products!$A$1:$G$1,0))</f>
        <v>14.85</v>
      </c>
      <c r="M597" s="12">
        <f t="shared" si="27"/>
        <v>14.85</v>
      </c>
      <c r="N597" s="10" t="str">
        <f t="shared" si="28"/>
        <v>Excelsa</v>
      </c>
      <c r="O597" s="10" t="str">
        <f t="shared" si="29"/>
        <v>Light</v>
      </c>
      <c r="P597" s="10" t="str">
        <f>_xlfn.XLOOKUP(Tableau1[[#This Row],[Customer ID]],customers!A$2:A$1001,customers!I$2:I$1001)</f>
        <v>No</v>
      </c>
    </row>
    <row r="598" spans="1:16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9" t="str">
        <f>_xlfn.XLOOKUP(orders!C598,customers!$A$2:$A$1001,customers!$B$2:$B$1001)</f>
        <v>Kienan Scholard</v>
      </c>
      <c r="G598" s="9" t="str">
        <f>IF(_xlfn.XLOOKUP(orders!C598,customers!$A$2:$A$1001,customers!$C$2:$C$1001,,,)=0,"",_xlfn.XLOOKUP(orders!C598,customers!$A$2:$A$1001,customers!$C$2:$C$1001,,,))</f>
        <v>kscholardgk@sbwire.com</v>
      </c>
      <c r="H598" s="9" t="str">
        <f>_xlfn.XLOOKUP(C598,customers!$A$2:$A$1001,customers!$G$2:$G$1001,"")</f>
        <v>United States</v>
      </c>
      <c r="I598" s="10" t="str">
        <f>INDEX(products!$A$2:$G$49,MATCH(orders!$D598,products!$A$2:$A$49,0),MATCH(orders!I$1,products!$A$1:$G$1,0))</f>
        <v>Ara</v>
      </c>
      <c r="J598" s="10" t="str">
        <f>INDEX(products!$A$2:$G$49,MATCH(orders!$D598,products!$A$2:$A$49,0),MATCH(orders!J$1,products!$A$1:$G$1,0))</f>
        <v>M</v>
      </c>
      <c r="K598" s="11">
        <f>INDEX(products!$A$2:$G$49,MATCH(orders!$D598,products!$A$2:$A$49,0),MATCH(orders!K$1,products!$A$1:$G$1,0))</f>
        <v>0.5</v>
      </c>
      <c r="L598" s="12">
        <f>INDEX(products!$A$2:$G$49,MATCH(orders!$D598,products!$A$2:$A$49,0),MATCH(orders!L$1,products!$A$1:$G$1,0))</f>
        <v>6.75</v>
      </c>
      <c r="M598" s="12">
        <f t="shared" si="27"/>
        <v>33.75</v>
      </c>
      <c r="N598" s="10" t="str">
        <f t="shared" si="28"/>
        <v>Arabica</v>
      </c>
      <c r="O598" s="10" t="str">
        <f t="shared" si="29"/>
        <v>Medium</v>
      </c>
      <c r="P598" s="10" t="str">
        <f>_xlfn.XLOOKUP(Tableau1[[#This Row],[Customer ID]],customers!A$2:A$1001,customers!I$2:I$1001)</f>
        <v>No</v>
      </c>
    </row>
    <row r="599" spans="1:16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9" t="str">
        <f>_xlfn.XLOOKUP(orders!C599,customers!$A$2:$A$1001,customers!$B$2:$B$1001)</f>
        <v>Bo Kindley</v>
      </c>
      <c r="G599" s="9" t="str">
        <f>IF(_xlfn.XLOOKUP(orders!C599,customers!$A$2:$A$1001,customers!$C$2:$C$1001,,,)=0,"",_xlfn.XLOOKUP(orders!C599,customers!$A$2:$A$1001,customers!$C$2:$C$1001,,,))</f>
        <v>bkindleygl@wikimedia.org</v>
      </c>
      <c r="H599" s="9" t="str">
        <f>_xlfn.XLOOKUP(C599,customers!$A$2:$A$1001,customers!$G$2:$G$1001,"")</f>
        <v>United States</v>
      </c>
      <c r="I599" s="10" t="str">
        <f>INDEX(products!$A$2:$G$49,MATCH(orders!$D599,products!$A$2:$A$49,0),MATCH(orders!I$1,products!$A$1:$G$1,0))</f>
        <v>Lib</v>
      </c>
      <c r="J599" s="10" t="str">
        <f>INDEX(products!$A$2:$G$49,MATCH(orders!$D599,products!$A$2:$A$49,0),MATCH(orders!J$1,products!$A$1:$G$1,0))</f>
        <v>L</v>
      </c>
      <c r="K599" s="11">
        <f>INDEX(products!$A$2:$G$49,MATCH(orders!$D599,products!$A$2:$A$49,0),MATCH(orders!K$1,products!$A$1:$G$1,0))</f>
        <v>2.5</v>
      </c>
      <c r="L599" s="12">
        <f>INDEX(products!$A$2:$G$49,MATCH(orders!$D599,products!$A$2:$A$49,0),MATCH(orders!L$1,products!$A$1:$G$1,0))</f>
        <v>36.454999999999998</v>
      </c>
      <c r="M599" s="12">
        <f t="shared" si="27"/>
        <v>145.82</v>
      </c>
      <c r="N599" s="10" t="str">
        <f t="shared" si="28"/>
        <v>Liberica</v>
      </c>
      <c r="O599" s="10" t="str">
        <f t="shared" si="29"/>
        <v>Light</v>
      </c>
      <c r="P599" s="10" t="str">
        <f>_xlfn.XLOOKUP(Tableau1[[#This Row],[Customer ID]],customers!A$2:A$1001,customers!I$2:I$1001)</f>
        <v>Yes</v>
      </c>
    </row>
    <row r="600" spans="1:16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9" t="str">
        <f>_xlfn.XLOOKUP(orders!C600,customers!$A$2:$A$1001,customers!$B$2:$B$1001)</f>
        <v>Krissie Hammett</v>
      </c>
      <c r="G600" s="9" t="str">
        <f>IF(_xlfn.XLOOKUP(orders!C600,customers!$A$2:$A$1001,customers!$C$2:$C$1001,,,)=0,"",_xlfn.XLOOKUP(orders!C600,customers!$A$2:$A$1001,customers!$C$2:$C$1001,,,))</f>
        <v>khammettgm@dmoz.org</v>
      </c>
      <c r="H600" s="9" t="str">
        <f>_xlfn.XLOOKUP(C600,customers!$A$2:$A$1001,customers!$G$2:$G$1001,"")</f>
        <v>United States</v>
      </c>
      <c r="I600" s="10" t="str">
        <f>INDEX(products!$A$2:$G$49,MATCH(orders!$D600,products!$A$2:$A$49,0),MATCH(orders!I$1,products!$A$1:$G$1,0))</f>
        <v>Rob</v>
      </c>
      <c r="J600" s="10" t="str">
        <f>INDEX(products!$A$2:$G$49,MATCH(orders!$D600,products!$A$2:$A$49,0),MATCH(orders!J$1,products!$A$1:$G$1,0))</f>
        <v>M</v>
      </c>
      <c r="K600" s="11">
        <f>INDEX(products!$A$2:$G$49,MATCH(orders!$D600,products!$A$2:$A$49,0),MATCH(orders!K$1,products!$A$1:$G$1,0))</f>
        <v>0.2</v>
      </c>
      <c r="L600" s="12">
        <f>INDEX(products!$A$2:$G$49,MATCH(orders!$D600,products!$A$2:$A$49,0),MATCH(orders!L$1,products!$A$1:$G$1,0))</f>
        <v>2.9849999999999999</v>
      </c>
      <c r="M600" s="12">
        <f t="shared" si="27"/>
        <v>11.94</v>
      </c>
      <c r="N600" s="10" t="str">
        <f t="shared" si="28"/>
        <v>Robusta</v>
      </c>
      <c r="O600" s="10" t="str">
        <f t="shared" si="29"/>
        <v>Medium</v>
      </c>
      <c r="P600" s="10" t="str">
        <f>_xlfn.XLOOKUP(Tableau1[[#This Row],[Customer ID]],customers!A$2:A$1001,customers!I$2:I$1001)</f>
        <v>Yes</v>
      </c>
    </row>
    <row r="601" spans="1:16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9" t="str">
        <f>_xlfn.XLOOKUP(orders!C601,customers!$A$2:$A$1001,customers!$B$2:$B$1001)</f>
        <v>Alisha Hulburt</v>
      </c>
      <c r="G601" s="9" t="str">
        <f>IF(_xlfn.XLOOKUP(orders!C601,customers!$A$2:$A$1001,customers!$C$2:$C$1001,,,)=0,"",_xlfn.XLOOKUP(orders!C601,customers!$A$2:$A$1001,customers!$C$2:$C$1001,,,))</f>
        <v>ahulburtgn@fda.gov</v>
      </c>
      <c r="H601" s="9" t="str">
        <f>_xlfn.XLOOKUP(C601,customers!$A$2:$A$1001,customers!$G$2:$G$1001,"")</f>
        <v>United States</v>
      </c>
      <c r="I601" s="10" t="str">
        <f>INDEX(products!$A$2:$G$49,MATCH(orders!$D601,products!$A$2:$A$49,0),MATCH(orders!I$1,products!$A$1:$G$1,0))</f>
        <v>Ara</v>
      </c>
      <c r="J601" s="10" t="str">
        <f>INDEX(products!$A$2:$G$49,MATCH(orders!$D601,products!$A$2:$A$49,0),MATCH(orders!J$1,products!$A$1:$G$1,0))</f>
        <v>D</v>
      </c>
      <c r="K601" s="11">
        <f>INDEX(products!$A$2:$G$49,MATCH(orders!$D601,products!$A$2:$A$49,0),MATCH(orders!K$1,products!$A$1:$G$1,0))</f>
        <v>0.2</v>
      </c>
      <c r="L601" s="12">
        <f>INDEX(products!$A$2:$G$49,MATCH(orders!$D601,products!$A$2:$A$49,0),MATCH(orders!L$1,products!$A$1:$G$1,0))</f>
        <v>2.9849999999999999</v>
      </c>
      <c r="M601" s="12">
        <f t="shared" si="27"/>
        <v>11.94</v>
      </c>
      <c r="N601" s="10" t="str">
        <f t="shared" si="28"/>
        <v>Arabica</v>
      </c>
      <c r="O601" s="10" t="str">
        <f t="shared" si="29"/>
        <v>Dark</v>
      </c>
      <c r="P601" s="10" t="str">
        <f>_xlfn.XLOOKUP(Tableau1[[#This Row],[Customer ID]],customers!A$2:A$1001,customers!I$2:I$1001)</f>
        <v>Yes</v>
      </c>
    </row>
    <row r="602" spans="1:16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9" t="str">
        <f>_xlfn.XLOOKUP(orders!C602,customers!$A$2:$A$1001,customers!$B$2:$B$1001)</f>
        <v>Peyter Lauritzen</v>
      </c>
      <c r="G602" s="9" t="str">
        <f>IF(_xlfn.XLOOKUP(orders!C602,customers!$A$2:$A$1001,customers!$C$2:$C$1001,,,)=0,"",_xlfn.XLOOKUP(orders!C602,customers!$A$2:$A$1001,customers!$C$2:$C$1001,,,))</f>
        <v>plauritzengo@photobucket.com</v>
      </c>
      <c r="H602" s="9" t="str">
        <f>_xlfn.XLOOKUP(C602,customers!$A$2:$A$1001,customers!$G$2:$G$1001,"")</f>
        <v>United States</v>
      </c>
      <c r="I602" s="10" t="str">
        <f>INDEX(products!$A$2:$G$49,MATCH(orders!$D602,products!$A$2:$A$49,0),MATCH(orders!I$1,products!$A$1:$G$1,0))</f>
        <v>Lib</v>
      </c>
      <c r="J602" s="10" t="str">
        <f>INDEX(products!$A$2:$G$49,MATCH(orders!$D602,products!$A$2:$A$49,0),MATCH(orders!J$1,products!$A$1:$G$1,0))</f>
        <v>D</v>
      </c>
      <c r="K602" s="11">
        <f>INDEX(products!$A$2:$G$49,MATCH(orders!$D602,products!$A$2:$A$49,0),MATCH(orders!K$1,products!$A$1:$G$1,0))</f>
        <v>0.5</v>
      </c>
      <c r="L602" s="12">
        <f>INDEX(products!$A$2:$G$49,MATCH(orders!$D602,products!$A$2:$A$49,0),MATCH(orders!L$1,products!$A$1:$G$1,0))</f>
        <v>7.77</v>
      </c>
      <c r="M602" s="12">
        <f t="shared" si="27"/>
        <v>7.77</v>
      </c>
      <c r="N602" s="10" t="str">
        <f t="shared" si="28"/>
        <v>Liberica</v>
      </c>
      <c r="O602" s="10" t="str">
        <f t="shared" si="29"/>
        <v>Dark</v>
      </c>
      <c r="P602" s="10" t="str">
        <f>_xlfn.XLOOKUP(Tableau1[[#This Row],[Customer ID]],customers!A$2:A$1001,customers!I$2:I$1001)</f>
        <v>No</v>
      </c>
    </row>
    <row r="603" spans="1:16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9" t="str">
        <f>_xlfn.XLOOKUP(orders!C603,customers!$A$2:$A$1001,customers!$B$2:$B$1001)</f>
        <v>Aurelia Burgwin</v>
      </c>
      <c r="G603" s="9" t="str">
        <f>IF(_xlfn.XLOOKUP(orders!C603,customers!$A$2:$A$1001,customers!$C$2:$C$1001,,,)=0,"",_xlfn.XLOOKUP(orders!C603,customers!$A$2:$A$1001,customers!$C$2:$C$1001,,,))</f>
        <v>aburgwingp@redcross.org</v>
      </c>
      <c r="H603" s="9" t="str">
        <f>_xlfn.XLOOKUP(C603,customers!$A$2:$A$1001,customers!$G$2:$G$1001,"")</f>
        <v>United States</v>
      </c>
      <c r="I603" s="10" t="str">
        <f>INDEX(products!$A$2:$G$49,MATCH(orders!$D603,products!$A$2:$A$49,0),MATCH(orders!I$1,products!$A$1:$G$1,0))</f>
        <v>Rob</v>
      </c>
      <c r="J603" s="10" t="str">
        <f>INDEX(products!$A$2:$G$49,MATCH(orders!$D603,products!$A$2:$A$49,0),MATCH(orders!J$1,products!$A$1:$G$1,0))</f>
        <v>L</v>
      </c>
      <c r="K603" s="11">
        <f>INDEX(products!$A$2:$G$49,MATCH(orders!$D603,products!$A$2:$A$49,0),MATCH(orders!K$1,products!$A$1:$G$1,0))</f>
        <v>2.5</v>
      </c>
      <c r="L603" s="12">
        <f>INDEX(products!$A$2:$G$49,MATCH(orders!$D603,products!$A$2:$A$49,0),MATCH(orders!L$1,products!$A$1:$G$1,0))</f>
        <v>27.484999999999996</v>
      </c>
      <c r="M603" s="12">
        <f t="shared" si="27"/>
        <v>109.93999999999998</v>
      </c>
      <c r="N603" s="10" t="str">
        <f t="shared" si="28"/>
        <v>Robusta</v>
      </c>
      <c r="O603" s="10" t="str">
        <f t="shared" si="29"/>
        <v>Light</v>
      </c>
      <c r="P603" s="10" t="str">
        <f>_xlfn.XLOOKUP(Tableau1[[#This Row],[Customer ID]],customers!A$2:A$1001,customers!I$2:I$1001)</f>
        <v>Yes</v>
      </c>
    </row>
    <row r="604" spans="1:16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9" t="str">
        <f>_xlfn.XLOOKUP(orders!C604,customers!$A$2:$A$1001,customers!$B$2:$B$1001)</f>
        <v>Emalee Rolin</v>
      </c>
      <c r="G604" s="9" t="str">
        <f>IF(_xlfn.XLOOKUP(orders!C604,customers!$A$2:$A$1001,customers!$C$2:$C$1001,,,)=0,"",_xlfn.XLOOKUP(orders!C604,customers!$A$2:$A$1001,customers!$C$2:$C$1001,,,))</f>
        <v>erolingq@google.fr</v>
      </c>
      <c r="H604" s="9" t="str">
        <f>_xlfn.XLOOKUP(C604,customers!$A$2:$A$1001,customers!$G$2:$G$1001,"")</f>
        <v>United States</v>
      </c>
      <c r="I604" s="10" t="str">
        <f>INDEX(products!$A$2:$G$49,MATCH(orders!$D604,products!$A$2:$A$49,0),MATCH(orders!I$1,products!$A$1:$G$1,0))</f>
        <v>Exc</v>
      </c>
      <c r="J604" s="10" t="str">
        <f>INDEX(products!$A$2:$G$49,MATCH(orders!$D604,products!$A$2:$A$49,0),MATCH(orders!J$1,products!$A$1:$G$1,0))</f>
        <v>L</v>
      </c>
      <c r="K604" s="11">
        <f>INDEX(products!$A$2:$G$49,MATCH(orders!$D604,products!$A$2:$A$49,0),MATCH(orders!K$1,products!$A$1:$G$1,0))</f>
        <v>0.2</v>
      </c>
      <c r="L604" s="12">
        <f>INDEX(products!$A$2:$G$49,MATCH(orders!$D604,products!$A$2:$A$49,0),MATCH(orders!L$1,products!$A$1:$G$1,0))</f>
        <v>4.4550000000000001</v>
      </c>
      <c r="M604" s="12">
        <f t="shared" si="27"/>
        <v>22.274999999999999</v>
      </c>
      <c r="N604" s="10" t="str">
        <f t="shared" si="28"/>
        <v>Excelsa</v>
      </c>
      <c r="O604" s="10" t="str">
        <f t="shared" si="29"/>
        <v>Light</v>
      </c>
      <c r="P604" s="10" t="str">
        <f>_xlfn.XLOOKUP(Tableau1[[#This Row],[Customer ID]],customers!A$2:A$1001,customers!I$2:I$1001)</f>
        <v>Yes</v>
      </c>
    </row>
    <row r="605" spans="1:16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9" t="str">
        <f>_xlfn.XLOOKUP(orders!C605,customers!$A$2:$A$1001,customers!$B$2:$B$1001)</f>
        <v>Donavon Fowle</v>
      </c>
      <c r="G605" s="9" t="str">
        <f>IF(_xlfn.XLOOKUP(orders!C605,customers!$A$2:$A$1001,customers!$C$2:$C$1001,,,)=0,"",_xlfn.XLOOKUP(orders!C605,customers!$A$2:$A$1001,customers!$C$2:$C$1001,,,))</f>
        <v>dfowlegr@epa.gov</v>
      </c>
      <c r="H605" s="9" t="str">
        <f>_xlfn.XLOOKUP(C605,customers!$A$2:$A$1001,customers!$G$2:$G$1001,"")</f>
        <v>United States</v>
      </c>
      <c r="I605" s="10" t="str">
        <f>INDEX(products!$A$2:$G$49,MATCH(orders!$D605,products!$A$2:$A$49,0),MATCH(orders!I$1,products!$A$1:$G$1,0))</f>
        <v>Rob</v>
      </c>
      <c r="J605" s="10" t="str">
        <f>INDEX(products!$A$2:$G$49,MATCH(orders!$D605,products!$A$2:$A$49,0),MATCH(orders!J$1,products!$A$1:$G$1,0))</f>
        <v>M</v>
      </c>
      <c r="K605" s="11">
        <f>INDEX(products!$A$2:$G$49,MATCH(orders!$D605,products!$A$2:$A$49,0),MATCH(orders!K$1,products!$A$1:$G$1,0))</f>
        <v>0.2</v>
      </c>
      <c r="L605" s="12">
        <f>INDEX(products!$A$2:$G$49,MATCH(orders!$D605,products!$A$2:$A$49,0),MATCH(orders!L$1,products!$A$1:$G$1,0))</f>
        <v>2.9849999999999999</v>
      </c>
      <c r="M605" s="12">
        <f t="shared" si="27"/>
        <v>8.9550000000000001</v>
      </c>
      <c r="N605" s="10" t="str">
        <f t="shared" si="28"/>
        <v>Robusta</v>
      </c>
      <c r="O605" s="10" t="str">
        <f t="shared" si="29"/>
        <v>Medium</v>
      </c>
      <c r="P605" s="10" t="str">
        <f>_xlfn.XLOOKUP(Tableau1[[#This Row],[Customer ID]],customers!A$2:A$1001,customers!I$2:I$1001)</f>
        <v>No</v>
      </c>
    </row>
    <row r="606" spans="1:16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9" t="str">
        <f>_xlfn.XLOOKUP(orders!C606,customers!$A$2:$A$1001,customers!$B$2:$B$1001)</f>
        <v>Jorge Bettison</v>
      </c>
      <c r="G606" s="9" t="str">
        <f>IF(_xlfn.XLOOKUP(orders!C606,customers!$A$2:$A$1001,customers!$C$2:$C$1001,,,)=0,"",_xlfn.XLOOKUP(orders!C606,customers!$A$2:$A$1001,customers!$C$2:$C$1001,,,))</f>
        <v/>
      </c>
      <c r="H606" s="9" t="str">
        <f>_xlfn.XLOOKUP(C606,customers!$A$2:$A$1001,customers!$G$2:$G$1001,"")</f>
        <v>Ireland</v>
      </c>
      <c r="I606" s="10" t="str">
        <f>INDEX(products!$A$2:$G$49,MATCH(orders!$D606,products!$A$2:$A$49,0),MATCH(orders!I$1,products!$A$1:$G$1,0))</f>
        <v>Lib</v>
      </c>
      <c r="J606" s="10" t="str">
        <f>INDEX(products!$A$2:$G$49,MATCH(orders!$D606,products!$A$2:$A$49,0),MATCH(orders!J$1,products!$A$1:$G$1,0))</f>
        <v>D</v>
      </c>
      <c r="K606" s="11">
        <f>INDEX(products!$A$2:$G$49,MATCH(orders!$D606,products!$A$2:$A$49,0),MATCH(orders!K$1,products!$A$1:$G$1,0))</f>
        <v>2.5</v>
      </c>
      <c r="L606" s="12">
        <f>INDEX(products!$A$2:$G$49,MATCH(orders!$D606,products!$A$2:$A$49,0),MATCH(orders!L$1,products!$A$1:$G$1,0))</f>
        <v>29.784999999999997</v>
      </c>
      <c r="M606" s="12">
        <f t="shared" si="27"/>
        <v>119.13999999999999</v>
      </c>
      <c r="N606" s="10" t="str">
        <f t="shared" si="28"/>
        <v>Liberica</v>
      </c>
      <c r="O606" s="10" t="str">
        <f t="shared" si="29"/>
        <v>Dark</v>
      </c>
      <c r="P606" s="10" t="str">
        <f>_xlfn.XLOOKUP(Tableau1[[#This Row],[Customer ID]],customers!A$2:A$1001,customers!I$2:I$1001)</f>
        <v>No</v>
      </c>
    </row>
    <row r="607" spans="1:16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9" t="str">
        <f>_xlfn.XLOOKUP(orders!C607,customers!$A$2:$A$1001,customers!$B$2:$B$1001)</f>
        <v>Wang Powlesland</v>
      </c>
      <c r="G607" s="9" t="str">
        <f>IF(_xlfn.XLOOKUP(orders!C607,customers!$A$2:$A$1001,customers!$C$2:$C$1001,,,)=0,"",_xlfn.XLOOKUP(orders!C607,customers!$A$2:$A$1001,customers!$C$2:$C$1001,,,))</f>
        <v>wpowleslandgt@soundcloud.com</v>
      </c>
      <c r="H607" s="9" t="str">
        <f>_xlfn.XLOOKUP(C607,customers!$A$2:$A$1001,customers!$G$2:$G$1001,"")</f>
        <v>United States</v>
      </c>
      <c r="I607" s="10" t="str">
        <f>INDEX(products!$A$2:$G$49,MATCH(orders!$D607,products!$A$2:$A$49,0),MATCH(orders!I$1,products!$A$1:$G$1,0))</f>
        <v>Ara</v>
      </c>
      <c r="J607" s="10" t="str">
        <f>INDEX(products!$A$2:$G$49,MATCH(orders!$D607,products!$A$2:$A$49,0),MATCH(orders!J$1,products!$A$1:$G$1,0))</f>
        <v>L</v>
      </c>
      <c r="K607" s="11">
        <f>INDEX(products!$A$2:$G$49,MATCH(orders!$D607,products!$A$2:$A$49,0),MATCH(orders!K$1,products!$A$1:$G$1,0))</f>
        <v>2.5</v>
      </c>
      <c r="L607" s="12">
        <f>INDEX(products!$A$2:$G$49,MATCH(orders!$D607,products!$A$2:$A$49,0),MATCH(orders!L$1,products!$A$1:$G$1,0))</f>
        <v>29.784999999999997</v>
      </c>
      <c r="M607" s="12">
        <f t="shared" si="27"/>
        <v>148.92499999999998</v>
      </c>
      <c r="N607" s="10" t="str">
        <f t="shared" si="28"/>
        <v>Arabica</v>
      </c>
      <c r="O607" s="10" t="str">
        <f t="shared" si="29"/>
        <v>Light</v>
      </c>
      <c r="P607" s="10" t="str">
        <f>_xlfn.XLOOKUP(Tableau1[[#This Row],[Customer ID]],customers!A$2:A$1001,customers!I$2:I$1001)</f>
        <v>Yes</v>
      </c>
    </row>
    <row r="608" spans="1:16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9" t="str">
        <f>_xlfn.XLOOKUP(orders!C608,customers!$A$2:$A$1001,customers!$B$2:$B$1001)</f>
        <v>Cody Verissimo</v>
      </c>
      <c r="G608" s="9" t="str">
        <f>IF(_xlfn.XLOOKUP(orders!C608,customers!$A$2:$A$1001,customers!$C$2:$C$1001,,,)=0,"",_xlfn.XLOOKUP(orders!C608,customers!$A$2:$A$1001,customers!$C$2:$C$1001,,,))</f>
        <v>cverissimogh@theglobeandmail.com</v>
      </c>
      <c r="H608" s="9" t="str">
        <f>_xlfn.XLOOKUP(C608,customers!$A$2:$A$1001,customers!$G$2:$G$1001,"")</f>
        <v>United Kingdom</v>
      </c>
      <c r="I608" s="10" t="str">
        <f>INDEX(products!$A$2:$G$49,MATCH(orders!$D608,products!$A$2:$A$49,0),MATCH(orders!I$1,products!$A$1:$G$1,0))</f>
        <v>Lib</v>
      </c>
      <c r="J608" s="10" t="str">
        <f>INDEX(products!$A$2:$G$49,MATCH(orders!$D608,products!$A$2:$A$49,0),MATCH(orders!J$1,products!$A$1:$G$1,0))</f>
        <v>L</v>
      </c>
      <c r="K608" s="11">
        <f>INDEX(products!$A$2:$G$49,MATCH(orders!$D608,products!$A$2:$A$49,0),MATCH(orders!K$1,products!$A$1:$G$1,0))</f>
        <v>2.5</v>
      </c>
      <c r="L608" s="12">
        <f>INDEX(products!$A$2:$G$49,MATCH(orders!$D608,products!$A$2:$A$49,0),MATCH(orders!L$1,products!$A$1:$G$1,0))</f>
        <v>36.454999999999998</v>
      </c>
      <c r="M608" s="12">
        <f t="shared" si="27"/>
        <v>109.36499999999999</v>
      </c>
      <c r="N608" s="10" t="str">
        <f t="shared" si="28"/>
        <v>Liberica</v>
      </c>
      <c r="O608" s="10" t="str">
        <f t="shared" si="29"/>
        <v>Light</v>
      </c>
      <c r="P608" s="10" t="str">
        <f>_xlfn.XLOOKUP(Tableau1[[#This Row],[Customer ID]],customers!A$2:A$1001,customers!I$2:I$1001)</f>
        <v>Yes</v>
      </c>
    </row>
    <row r="609" spans="1:16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9" t="str">
        <f>_xlfn.XLOOKUP(orders!C609,customers!$A$2:$A$1001,customers!$B$2:$B$1001)</f>
        <v>Laurence Ellingham</v>
      </c>
      <c r="G609" s="9" t="str">
        <f>IF(_xlfn.XLOOKUP(orders!C609,customers!$A$2:$A$1001,customers!$C$2:$C$1001,,,)=0,"",_xlfn.XLOOKUP(orders!C609,customers!$A$2:$A$1001,customers!$C$2:$C$1001,,,))</f>
        <v>lellinghamgv@sciencedaily.com</v>
      </c>
      <c r="H609" s="9" t="str">
        <f>_xlfn.XLOOKUP(C609,customers!$A$2:$A$1001,customers!$G$2:$G$1001,"")</f>
        <v>United States</v>
      </c>
      <c r="I609" s="10" t="str">
        <f>INDEX(products!$A$2:$G$49,MATCH(orders!$D609,products!$A$2:$A$49,0),MATCH(orders!I$1,products!$A$1:$G$1,0))</f>
        <v>Exc</v>
      </c>
      <c r="J609" s="10" t="str">
        <f>INDEX(products!$A$2:$G$49,MATCH(orders!$D609,products!$A$2:$A$49,0),MATCH(orders!J$1,products!$A$1:$G$1,0))</f>
        <v>D</v>
      </c>
      <c r="K609" s="11">
        <f>INDEX(products!$A$2:$G$49,MATCH(orders!$D609,products!$A$2:$A$49,0),MATCH(orders!K$1,products!$A$1:$G$1,0))</f>
        <v>0.2</v>
      </c>
      <c r="L609" s="12">
        <f>INDEX(products!$A$2:$G$49,MATCH(orders!$D609,products!$A$2:$A$49,0),MATCH(orders!L$1,products!$A$1:$G$1,0))</f>
        <v>3.645</v>
      </c>
      <c r="M609" s="12">
        <f t="shared" si="27"/>
        <v>3.645</v>
      </c>
      <c r="N609" s="10" t="str">
        <f t="shared" si="28"/>
        <v>Excelsa</v>
      </c>
      <c r="O609" s="10" t="str">
        <f t="shared" si="29"/>
        <v>Dark</v>
      </c>
      <c r="P609" s="10" t="str">
        <f>_xlfn.XLOOKUP(Tableau1[[#This Row],[Customer ID]],customers!A$2:A$1001,customers!I$2:I$1001)</f>
        <v>Yes</v>
      </c>
    </row>
    <row r="610" spans="1:16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9" t="str">
        <f>_xlfn.XLOOKUP(orders!C610,customers!$A$2:$A$1001,customers!$B$2:$B$1001)</f>
        <v>Billy Neiland</v>
      </c>
      <c r="G610" s="9" t="str">
        <f>IF(_xlfn.XLOOKUP(orders!C610,customers!$A$2:$A$1001,customers!$C$2:$C$1001,,,)=0,"",_xlfn.XLOOKUP(orders!C610,customers!$A$2:$A$1001,customers!$C$2:$C$1001,,,))</f>
        <v/>
      </c>
      <c r="H610" s="9" t="str">
        <f>_xlfn.XLOOKUP(C610,customers!$A$2:$A$1001,customers!$G$2:$G$1001,"")</f>
        <v>United States</v>
      </c>
      <c r="I610" s="10" t="str">
        <f>INDEX(products!$A$2:$G$49,MATCH(orders!$D610,products!$A$2:$A$49,0),MATCH(orders!I$1,products!$A$1:$G$1,0))</f>
        <v>Exc</v>
      </c>
      <c r="J610" s="10" t="str">
        <f>INDEX(products!$A$2:$G$49,MATCH(orders!$D610,products!$A$2:$A$49,0),MATCH(orders!J$1,products!$A$1:$G$1,0))</f>
        <v>D</v>
      </c>
      <c r="K610" s="11">
        <f>INDEX(products!$A$2:$G$49,MATCH(orders!$D610,products!$A$2:$A$49,0),MATCH(orders!K$1,products!$A$1:$G$1,0))</f>
        <v>2.5</v>
      </c>
      <c r="L610" s="12">
        <f>INDEX(products!$A$2:$G$49,MATCH(orders!$D610,products!$A$2:$A$49,0),MATCH(orders!L$1,products!$A$1:$G$1,0))</f>
        <v>27.945</v>
      </c>
      <c r="M610" s="12">
        <f t="shared" si="27"/>
        <v>55.89</v>
      </c>
      <c r="N610" s="10" t="str">
        <f t="shared" si="28"/>
        <v>Excelsa</v>
      </c>
      <c r="O610" s="10" t="str">
        <f t="shared" si="29"/>
        <v>Dark</v>
      </c>
      <c r="P610" s="10" t="str">
        <f>_xlfn.XLOOKUP(Tableau1[[#This Row],[Customer ID]],customers!A$2:A$1001,customers!I$2:I$1001)</f>
        <v>No</v>
      </c>
    </row>
    <row r="611" spans="1:16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9" t="str">
        <f>_xlfn.XLOOKUP(orders!C611,customers!$A$2:$A$1001,customers!$B$2:$B$1001)</f>
        <v>Ancell Fendt</v>
      </c>
      <c r="G611" s="9" t="str">
        <f>IF(_xlfn.XLOOKUP(orders!C611,customers!$A$2:$A$1001,customers!$C$2:$C$1001,,,)=0,"",_xlfn.XLOOKUP(orders!C611,customers!$A$2:$A$1001,customers!$C$2:$C$1001,,,))</f>
        <v>afendtgx@forbes.com</v>
      </c>
      <c r="H611" s="9" t="str">
        <f>_xlfn.XLOOKUP(C611,customers!$A$2:$A$1001,customers!$G$2:$G$1001,"")</f>
        <v>United States</v>
      </c>
      <c r="I611" s="10" t="str">
        <f>INDEX(products!$A$2:$G$49,MATCH(orders!$D611,products!$A$2:$A$49,0),MATCH(orders!I$1,products!$A$1:$G$1,0))</f>
        <v>Lib</v>
      </c>
      <c r="J611" s="10" t="str">
        <f>INDEX(products!$A$2:$G$49,MATCH(orders!$D611,products!$A$2:$A$49,0),MATCH(orders!J$1,products!$A$1:$G$1,0))</f>
        <v>M</v>
      </c>
      <c r="K611" s="11">
        <f>INDEX(products!$A$2:$G$49,MATCH(orders!$D611,products!$A$2:$A$49,0),MATCH(orders!K$1,products!$A$1:$G$1,0))</f>
        <v>0.2</v>
      </c>
      <c r="L611" s="12">
        <f>INDEX(products!$A$2:$G$49,MATCH(orders!$D611,products!$A$2:$A$49,0),MATCH(orders!L$1,products!$A$1:$G$1,0))</f>
        <v>4.3650000000000002</v>
      </c>
      <c r="M611" s="12">
        <f t="shared" si="27"/>
        <v>26.19</v>
      </c>
      <c r="N611" s="10" t="str">
        <f t="shared" si="28"/>
        <v>Liberica</v>
      </c>
      <c r="O611" s="10" t="str">
        <f t="shared" si="29"/>
        <v>Medium</v>
      </c>
      <c r="P611" s="10" t="str">
        <f>_xlfn.XLOOKUP(Tableau1[[#This Row],[Customer ID]],customers!A$2:A$1001,customers!I$2:I$1001)</f>
        <v>Yes</v>
      </c>
    </row>
    <row r="612" spans="1:16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9" t="str">
        <f>_xlfn.XLOOKUP(orders!C612,customers!$A$2:$A$1001,customers!$B$2:$B$1001)</f>
        <v>Angelia Cleyburn</v>
      </c>
      <c r="G612" s="9" t="str">
        <f>IF(_xlfn.XLOOKUP(orders!C612,customers!$A$2:$A$1001,customers!$C$2:$C$1001,,,)=0,"",_xlfn.XLOOKUP(orders!C612,customers!$A$2:$A$1001,customers!$C$2:$C$1001,,,))</f>
        <v>acleyburngy@lycos.com</v>
      </c>
      <c r="H612" s="9" t="str">
        <f>_xlfn.XLOOKUP(C612,customers!$A$2:$A$1001,customers!$G$2:$G$1001,"")</f>
        <v>United States</v>
      </c>
      <c r="I612" s="10" t="str">
        <f>INDEX(products!$A$2:$G$49,MATCH(orders!$D612,products!$A$2:$A$49,0),MATCH(orders!I$1,products!$A$1:$G$1,0))</f>
        <v>Rob</v>
      </c>
      <c r="J612" s="10" t="str">
        <f>INDEX(products!$A$2:$G$49,MATCH(orders!$D612,products!$A$2:$A$49,0),MATCH(orders!J$1,products!$A$1:$G$1,0))</f>
        <v>M</v>
      </c>
      <c r="K612" s="11">
        <f>INDEX(products!$A$2:$G$49,MATCH(orders!$D612,products!$A$2:$A$49,0),MATCH(orders!K$1,products!$A$1:$G$1,0))</f>
        <v>1</v>
      </c>
      <c r="L612" s="12">
        <f>INDEX(products!$A$2:$G$49,MATCH(orders!$D612,products!$A$2:$A$49,0),MATCH(orders!L$1,products!$A$1:$G$1,0))</f>
        <v>9.9499999999999993</v>
      </c>
      <c r="M612" s="12">
        <f t="shared" si="27"/>
        <v>39.799999999999997</v>
      </c>
      <c r="N612" s="10" t="str">
        <f t="shared" si="28"/>
        <v>Robusta</v>
      </c>
      <c r="O612" s="10" t="str">
        <f t="shared" si="29"/>
        <v>Medium</v>
      </c>
      <c r="P612" s="10" t="str">
        <f>_xlfn.XLOOKUP(Tableau1[[#This Row],[Customer ID]],customers!A$2:A$1001,customers!I$2:I$1001)</f>
        <v>No</v>
      </c>
    </row>
    <row r="613" spans="1:16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9" t="str">
        <f>_xlfn.XLOOKUP(orders!C613,customers!$A$2:$A$1001,customers!$B$2:$B$1001)</f>
        <v>Temple Castiglione</v>
      </c>
      <c r="G613" s="9" t="str">
        <f>IF(_xlfn.XLOOKUP(orders!C613,customers!$A$2:$A$1001,customers!$C$2:$C$1001,,,)=0,"",_xlfn.XLOOKUP(orders!C613,customers!$A$2:$A$1001,customers!$C$2:$C$1001,,,))</f>
        <v>tcastiglionegz@xing.com</v>
      </c>
      <c r="H613" s="9" t="str">
        <f>_xlfn.XLOOKUP(C613,customers!$A$2:$A$1001,customers!$G$2:$G$1001,"")</f>
        <v>United States</v>
      </c>
      <c r="I613" s="10" t="str">
        <f>INDEX(products!$A$2:$G$49,MATCH(orders!$D613,products!$A$2:$A$49,0),MATCH(orders!I$1,products!$A$1:$G$1,0))</f>
        <v>Exc</v>
      </c>
      <c r="J613" s="10" t="str">
        <f>INDEX(products!$A$2:$G$49,MATCH(orders!$D613,products!$A$2:$A$49,0),MATCH(orders!J$1,products!$A$1:$G$1,0))</f>
        <v>L</v>
      </c>
      <c r="K613" s="11">
        <f>INDEX(products!$A$2:$G$49,MATCH(orders!$D613,products!$A$2:$A$49,0),MATCH(orders!K$1,products!$A$1:$G$1,0))</f>
        <v>2.5</v>
      </c>
      <c r="L613" s="12">
        <f>INDEX(products!$A$2:$G$49,MATCH(orders!$D613,products!$A$2:$A$49,0),MATCH(orders!L$1,products!$A$1:$G$1,0))</f>
        <v>34.154999999999994</v>
      </c>
      <c r="M613" s="12">
        <f t="shared" si="27"/>
        <v>68.309999999999988</v>
      </c>
      <c r="N613" s="10" t="str">
        <f t="shared" si="28"/>
        <v>Excelsa</v>
      </c>
      <c r="O613" s="10" t="str">
        <f t="shared" si="29"/>
        <v>Light</v>
      </c>
      <c r="P613" s="10" t="str">
        <f>_xlfn.XLOOKUP(Tableau1[[#This Row],[Customer ID]],customers!A$2:A$1001,customers!I$2:I$1001)</f>
        <v>No</v>
      </c>
    </row>
    <row r="614" spans="1:16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9" t="str">
        <f>_xlfn.XLOOKUP(orders!C614,customers!$A$2:$A$1001,customers!$B$2:$B$1001)</f>
        <v>Betti Lacasa</v>
      </c>
      <c r="G614" s="9" t="str">
        <f>IF(_xlfn.XLOOKUP(orders!C614,customers!$A$2:$A$1001,customers!$C$2:$C$1001,,,)=0,"",_xlfn.XLOOKUP(orders!C614,customers!$A$2:$A$1001,customers!$C$2:$C$1001,,,))</f>
        <v/>
      </c>
      <c r="H614" s="9" t="str">
        <f>_xlfn.XLOOKUP(C614,customers!$A$2:$A$1001,customers!$G$2:$G$1001,"")</f>
        <v>Ireland</v>
      </c>
      <c r="I614" s="10" t="str">
        <f>INDEX(products!$A$2:$G$49,MATCH(orders!$D614,products!$A$2:$A$49,0),MATCH(orders!I$1,products!$A$1:$G$1,0))</f>
        <v>Ara</v>
      </c>
      <c r="J614" s="10" t="str">
        <f>INDEX(products!$A$2:$G$49,MATCH(orders!$D614,products!$A$2:$A$49,0),MATCH(orders!J$1,products!$A$1:$G$1,0))</f>
        <v>M</v>
      </c>
      <c r="K614" s="11">
        <f>INDEX(products!$A$2:$G$49,MATCH(orders!$D614,products!$A$2:$A$49,0),MATCH(orders!K$1,products!$A$1:$G$1,0))</f>
        <v>0.2</v>
      </c>
      <c r="L614" s="12">
        <f>INDEX(products!$A$2:$G$49,MATCH(orders!$D614,products!$A$2:$A$49,0),MATCH(orders!L$1,products!$A$1:$G$1,0))</f>
        <v>3.375</v>
      </c>
      <c r="M614" s="12">
        <f t="shared" si="27"/>
        <v>13.5</v>
      </c>
      <c r="N614" s="10" t="str">
        <f t="shared" si="28"/>
        <v>Arabica</v>
      </c>
      <c r="O614" s="10" t="str">
        <f t="shared" si="29"/>
        <v>Medium</v>
      </c>
      <c r="P614" s="10" t="str">
        <f>_xlfn.XLOOKUP(Tableau1[[#This Row],[Customer ID]],customers!A$2:A$1001,customers!I$2:I$1001)</f>
        <v>No</v>
      </c>
    </row>
    <row r="615" spans="1:16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9" t="str">
        <f>_xlfn.XLOOKUP(orders!C615,customers!$A$2:$A$1001,customers!$B$2:$B$1001)</f>
        <v>Gunilla Lynch</v>
      </c>
      <c r="G615" s="9" t="str">
        <f>IF(_xlfn.XLOOKUP(orders!C615,customers!$A$2:$A$1001,customers!$C$2:$C$1001,,,)=0,"",_xlfn.XLOOKUP(orders!C615,customers!$A$2:$A$1001,customers!$C$2:$C$1001,,,))</f>
        <v/>
      </c>
      <c r="H615" s="9" t="str">
        <f>_xlfn.XLOOKUP(C615,customers!$A$2:$A$1001,customers!$G$2:$G$1001,"")</f>
        <v>United States</v>
      </c>
      <c r="I615" s="10" t="str">
        <f>INDEX(products!$A$2:$G$49,MATCH(orders!$D615,products!$A$2:$A$49,0),MATCH(orders!I$1,products!$A$1:$G$1,0))</f>
        <v>Rob</v>
      </c>
      <c r="J615" s="10" t="str">
        <f>INDEX(products!$A$2:$G$49,MATCH(orders!$D615,products!$A$2:$A$49,0),MATCH(orders!J$1,products!$A$1:$G$1,0))</f>
        <v>M</v>
      </c>
      <c r="K615" s="11">
        <f>INDEX(products!$A$2:$G$49,MATCH(orders!$D615,products!$A$2:$A$49,0),MATCH(orders!K$1,products!$A$1:$G$1,0))</f>
        <v>0.5</v>
      </c>
      <c r="L615" s="12">
        <f>INDEX(products!$A$2:$G$49,MATCH(orders!$D615,products!$A$2:$A$49,0),MATCH(orders!L$1,products!$A$1:$G$1,0))</f>
        <v>5.97</v>
      </c>
      <c r="M615" s="12">
        <f t="shared" si="27"/>
        <v>5.97</v>
      </c>
      <c r="N615" s="10" t="str">
        <f t="shared" si="28"/>
        <v>Robusta</v>
      </c>
      <c r="O615" s="10" t="str">
        <f t="shared" si="29"/>
        <v>Medium</v>
      </c>
      <c r="P615" s="10" t="str">
        <f>_xlfn.XLOOKUP(Tableau1[[#This Row],[Customer ID]],customers!A$2:A$1001,customers!I$2:I$1001)</f>
        <v>No</v>
      </c>
    </row>
    <row r="616" spans="1:16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9" t="str">
        <f>_xlfn.XLOOKUP(orders!C616,customers!$A$2:$A$1001,customers!$B$2:$B$1001)</f>
        <v>Cody Verissimo</v>
      </c>
      <c r="G616" s="9" t="str">
        <f>IF(_xlfn.XLOOKUP(orders!C616,customers!$A$2:$A$1001,customers!$C$2:$C$1001,,,)=0,"",_xlfn.XLOOKUP(orders!C616,customers!$A$2:$A$1001,customers!$C$2:$C$1001,,,))</f>
        <v>cverissimogh@theglobeandmail.com</v>
      </c>
      <c r="H616" s="9" t="str">
        <f>_xlfn.XLOOKUP(C616,customers!$A$2:$A$1001,customers!$G$2:$G$1001,"")</f>
        <v>United Kingdom</v>
      </c>
      <c r="I616" s="10" t="str">
        <f>INDEX(products!$A$2:$G$49,MATCH(orders!$D616,products!$A$2:$A$49,0),MATCH(orders!I$1,products!$A$1:$G$1,0))</f>
        <v>Rob</v>
      </c>
      <c r="J616" s="10" t="str">
        <f>INDEX(products!$A$2:$G$49,MATCH(orders!$D616,products!$A$2:$A$49,0),MATCH(orders!J$1,products!$A$1:$G$1,0))</f>
        <v>M</v>
      </c>
      <c r="K616" s="11">
        <f>INDEX(products!$A$2:$G$49,MATCH(orders!$D616,products!$A$2:$A$49,0),MATCH(orders!K$1,products!$A$1:$G$1,0))</f>
        <v>0.5</v>
      </c>
      <c r="L616" s="12">
        <f>INDEX(products!$A$2:$G$49,MATCH(orders!$D616,products!$A$2:$A$49,0),MATCH(orders!L$1,products!$A$1:$G$1,0))</f>
        <v>5.97</v>
      </c>
      <c r="M616" s="12">
        <f t="shared" si="27"/>
        <v>29.849999999999998</v>
      </c>
      <c r="N616" s="10" t="str">
        <f t="shared" si="28"/>
        <v>Robusta</v>
      </c>
      <c r="O616" s="10" t="str">
        <f t="shared" si="29"/>
        <v>Medium</v>
      </c>
      <c r="P616" s="10" t="str">
        <f>_xlfn.XLOOKUP(Tableau1[[#This Row],[Customer ID]],customers!A$2:A$1001,customers!I$2:I$1001)</f>
        <v>Yes</v>
      </c>
    </row>
    <row r="617" spans="1:16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9" t="str">
        <f>_xlfn.XLOOKUP(orders!C617,customers!$A$2:$A$1001,customers!$B$2:$B$1001)</f>
        <v>Shay Couronne</v>
      </c>
      <c r="G617" s="9" t="str">
        <f>IF(_xlfn.XLOOKUP(orders!C617,customers!$A$2:$A$1001,customers!$C$2:$C$1001,,,)=0,"",_xlfn.XLOOKUP(orders!C617,customers!$A$2:$A$1001,customers!$C$2:$C$1001,,,))</f>
        <v>scouronneh3@mozilla.org</v>
      </c>
      <c r="H617" s="9" t="str">
        <f>_xlfn.XLOOKUP(C617,customers!$A$2:$A$1001,customers!$G$2:$G$1001,"")</f>
        <v>United States</v>
      </c>
      <c r="I617" s="10" t="str">
        <f>INDEX(products!$A$2:$G$49,MATCH(orders!$D617,products!$A$2:$A$49,0),MATCH(orders!I$1,products!$A$1:$G$1,0))</f>
        <v>Lib</v>
      </c>
      <c r="J617" s="10" t="str">
        <f>INDEX(products!$A$2:$G$49,MATCH(orders!$D617,products!$A$2:$A$49,0),MATCH(orders!J$1,products!$A$1:$G$1,0))</f>
        <v>L</v>
      </c>
      <c r="K617" s="11">
        <f>INDEX(products!$A$2:$G$49,MATCH(orders!$D617,products!$A$2:$A$49,0),MATCH(orders!K$1,products!$A$1:$G$1,0))</f>
        <v>2.5</v>
      </c>
      <c r="L617" s="12">
        <f>INDEX(products!$A$2:$G$49,MATCH(orders!$D617,products!$A$2:$A$49,0),MATCH(orders!L$1,products!$A$1:$G$1,0))</f>
        <v>36.454999999999998</v>
      </c>
      <c r="M617" s="12">
        <f t="shared" si="27"/>
        <v>72.91</v>
      </c>
      <c r="N617" s="10" t="str">
        <f t="shared" si="28"/>
        <v>Liberica</v>
      </c>
      <c r="O617" s="10" t="str">
        <f t="shared" si="29"/>
        <v>Light</v>
      </c>
      <c r="P617" s="10" t="str">
        <f>_xlfn.XLOOKUP(Tableau1[[#This Row],[Customer ID]],customers!A$2:A$1001,customers!I$2:I$1001)</f>
        <v>Yes</v>
      </c>
    </row>
    <row r="618" spans="1:16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9" t="str">
        <f>_xlfn.XLOOKUP(orders!C618,customers!$A$2:$A$1001,customers!$B$2:$B$1001)</f>
        <v>Linus Flippelli</v>
      </c>
      <c r="G618" s="9" t="str">
        <f>IF(_xlfn.XLOOKUP(orders!C618,customers!$A$2:$A$1001,customers!$C$2:$C$1001,,,)=0,"",_xlfn.XLOOKUP(orders!C618,customers!$A$2:$A$1001,customers!$C$2:$C$1001,,,))</f>
        <v>lflippellih4@github.io</v>
      </c>
      <c r="H618" s="9" t="str">
        <f>_xlfn.XLOOKUP(C618,customers!$A$2:$A$1001,customers!$G$2:$G$1001,"")</f>
        <v>United Kingdom</v>
      </c>
      <c r="I618" s="10" t="str">
        <f>INDEX(products!$A$2:$G$49,MATCH(orders!$D618,products!$A$2:$A$49,0),MATCH(orders!I$1,products!$A$1:$G$1,0))</f>
        <v>Exc</v>
      </c>
      <c r="J618" s="10" t="str">
        <f>INDEX(products!$A$2:$G$49,MATCH(orders!$D618,products!$A$2:$A$49,0),MATCH(orders!J$1,products!$A$1:$G$1,0))</f>
        <v>M</v>
      </c>
      <c r="K618" s="11">
        <f>INDEX(products!$A$2:$G$49,MATCH(orders!$D618,products!$A$2:$A$49,0),MATCH(orders!K$1,products!$A$1:$G$1,0))</f>
        <v>2.5</v>
      </c>
      <c r="L618" s="12">
        <f>INDEX(products!$A$2:$G$49,MATCH(orders!$D618,products!$A$2:$A$49,0),MATCH(orders!L$1,products!$A$1:$G$1,0))</f>
        <v>31.624999999999996</v>
      </c>
      <c r="M618" s="12">
        <f t="shared" si="27"/>
        <v>126.49999999999999</v>
      </c>
      <c r="N618" s="10" t="str">
        <f t="shared" si="28"/>
        <v>Excelsa</v>
      </c>
      <c r="O618" s="10" t="str">
        <f t="shared" si="29"/>
        <v>Medium</v>
      </c>
      <c r="P618" s="10" t="str">
        <f>_xlfn.XLOOKUP(Tableau1[[#This Row],[Customer ID]],customers!A$2:A$1001,customers!I$2:I$1001)</f>
        <v>No</v>
      </c>
    </row>
    <row r="619" spans="1:16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9" t="str">
        <f>_xlfn.XLOOKUP(orders!C619,customers!$A$2:$A$1001,customers!$B$2:$B$1001)</f>
        <v>Rachelle Elizabeth</v>
      </c>
      <c r="G619" s="9" t="str">
        <f>IF(_xlfn.XLOOKUP(orders!C619,customers!$A$2:$A$1001,customers!$C$2:$C$1001,,,)=0,"",_xlfn.XLOOKUP(orders!C619,customers!$A$2:$A$1001,customers!$C$2:$C$1001,,,))</f>
        <v>relizabethh5@live.com</v>
      </c>
      <c r="H619" s="9" t="str">
        <f>_xlfn.XLOOKUP(C619,customers!$A$2:$A$1001,customers!$G$2:$G$1001,"")</f>
        <v>United States</v>
      </c>
      <c r="I619" s="10" t="str">
        <f>INDEX(products!$A$2:$G$49,MATCH(orders!$D619,products!$A$2:$A$49,0),MATCH(orders!I$1,products!$A$1:$G$1,0))</f>
        <v>Lib</v>
      </c>
      <c r="J619" s="10" t="str">
        <f>INDEX(products!$A$2:$G$49,MATCH(orders!$D619,products!$A$2:$A$49,0),MATCH(orders!J$1,products!$A$1:$G$1,0))</f>
        <v>M</v>
      </c>
      <c r="K619" s="11">
        <f>INDEX(products!$A$2:$G$49,MATCH(orders!$D619,products!$A$2:$A$49,0),MATCH(orders!K$1,products!$A$1:$G$1,0))</f>
        <v>2.5</v>
      </c>
      <c r="L619" s="12">
        <f>INDEX(products!$A$2:$G$49,MATCH(orders!$D619,products!$A$2:$A$49,0),MATCH(orders!L$1,products!$A$1:$G$1,0))</f>
        <v>33.464999999999996</v>
      </c>
      <c r="M619" s="12">
        <f t="shared" si="27"/>
        <v>33.464999999999996</v>
      </c>
      <c r="N619" s="10" t="str">
        <f t="shared" si="28"/>
        <v>Liberica</v>
      </c>
      <c r="O619" s="10" t="str">
        <f t="shared" si="29"/>
        <v>Medium</v>
      </c>
      <c r="P619" s="10" t="str">
        <f>_xlfn.XLOOKUP(Tableau1[[#This Row],[Customer ID]],customers!A$2:A$1001,customers!I$2:I$1001)</f>
        <v>No</v>
      </c>
    </row>
    <row r="620" spans="1:16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9" t="str">
        <f>_xlfn.XLOOKUP(orders!C620,customers!$A$2:$A$1001,customers!$B$2:$B$1001)</f>
        <v>Innis Renhard</v>
      </c>
      <c r="G620" s="9" t="str">
        <f>IF(_xlfn.XLOOKUP(orders!C620,customers!$A$2:$A$1001,customers!$C$2:$C$1001,,,)=0,"",_xlfn.XLOOKUP(orders!C620,customers!$A$2:$A$1001,customers!$C$2:$C$1001,,,))</f>
        <v>irenhardh6@i2i.jp</v>
      </c>
      <c r="H620" s="9" t="str">
        <f>_xlfn.XLOOKUP(C620,customers!$A$2:$A$1001,customers!$G$2:$G$1001,"")</f>
        <v>United States</v>
      </c>
      <c r="I620" s="10" t="str">
        <f>INDEX(products!$A$2:$G$49,MATCH(orders!$D620,products!$A$2:$A$49,0),MATCH(orders!I$1,products!$A$1:$G$1,0))</f>
        <v>Exc</v>
      </c>
      <c r="J620" s="10" t="str">
        <f>INDEX(products!$A$2:$G$49,MATCH(orders!$D620,products!$A$2:$A$49,0),MATCH(orders!J$1,products!$A$1:$G$1,0))</f>
        <v>D</v>
      </c>
      <c r="K620" s="11">
        <f>INDEX(products!$A$2:$G$49,MATCH(orders!$D620,products!$A$2:$A$49,0),MATCH(orders!K$1,products!$A$1:$G$1,0))</f>
        <v>1</v>
      </c>
      <c r="L620" s="12">
        <f>INDEX(products!$A$2:$G$49,MATCH(orders!$D620,products!$A$2:$A$49,0),MATCH(orders!L$1,products!$A$1:$G$1,0))</f>
        <v>12.15</v>
      </c>
      <c r="M620" s="12">
        <f t="shared" si="27"/>
        <v>72.900000000000006</v>
      </c>
      <c r="N620" s="10" t="str">
        <f t="shared" si="28"/>
        <v>Excelsa</v>
      </c>
      <c r="O620" s="10" t="str">
        <f t="shared" si="29"/>
        <v>Dark</v>
      </c>
      <c r="P620" s="10" t="str">
        <f>_xlfn.XLOOKUP(Tableau1[[#This Row],[Customer ID]],customers!A$2:A$1001,customers!I$2:I$1001)</f>
        <v>Yes</v>
      </c>
    </row>
    <row r="621" spans="1:16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9" t="str">
        <f>_xlfn.XLOOKUP(orders!C621,customers!$A$2:$A$1001,customers!$B$2:$B$1001)</f>
        <v>Winne Roche</v>
      </c>
      <c r="G621" s="9" t="str">
        <f>IF(_xlfn.XLOOKUP(orders!C621,customers!$A$2:$A$1001,customers!$C$2:$C$1001,,,)=0,"",_xlfn.XLOOKUP(orders!C621,customers!$A$2:$A$1001,customers!$C$2:$C$1001,,,))</f>
        <v>wrocheh7@xinhuanet.com</v>
      </c>
      <c r="H621" s="9" t="str">
        <f>_xlfn.XLOOKUP(C621,customers!$A$2:$A$1001,customers!$G$2:$G$1001,"")</f>
        <v>United States</v>
      </c>
      <c r="I621" s="10" t="str">
        <f>INDEX(products!$A$2:$G$49,MATCH(orders!$D621,products!$A$2:$A$49,0),MATCH(orders!I$1,products!$A$1:$G$1,0))</f>
        <v>Lib</v>
      </c>
      <c r="J621" s="10" t="str">
        <f>INDEX(products!$A$2:$G$49,MATCH(orders!$D621,products!$A$2:$A$49,0),MATCH(orders!J$1,products!$A$1:$G$1,0))</f>
        <v>D</v>
      </c>
      <c r="K621" s="11">
        <f>INDEX(products!$A$2:$G$49,MATCH(orders!$D621,products!$A$2:$A$49,0),MATCH(orders!K$1,products!$A$1:$G$1,0))</f>
        <v>0.5</v>
      </c>
      <c r="L621" s="12">
        <f>INDEX(products!$A$2:$G$49,MATCH(orders!$D621,products!$A$2:$A$49,0),MATCH(orders!L$1,products!$A$1:$G$1,0))</f>
        <v>7.77</v>
      </c>
      <c r="M621" s="12">
        <f t="shared" si="27"/>
        <v>15.54</v>
      </c>
      <c r="N621" s="10" t="str">
        <f t="shared" si="28"/>
        <v>Liberica</v>
      </c>
      <c r="O621" s="10" t="str">
        <f t="shared" si="29"/>
        <v>Dark</v>
      </c>
      <c r="P621" s="10" t="str">
        <f>_xlfn.XLOOKUP(Tableau1[[#This Row],[Customer ID]],customers!A$2:A$1001,customers!I$2:I$1001)</f>
        <v>Yes</v>
      </c>
    </row>
    <row r="622" spans="1:16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9" t="str">
        <f>_xlfn.XLOOKUP(orders!C622,customers!$A$2:$A$1001,customers!$B$2:$B$1001)</f>
        <v>Linn Alaway</v>
      </c>
      <c r="G622" s="9" t="str">
        <f>IF(_xlfn.XLOOKUP(orders!C622,customers!$A$2:$A$1001,customers!$C$2:$C$1001,,,)=0,"",_xlfn.XLOOKUP(orders!C622,customers!$A$2:$A$1001,customers!$C$2:$C$1001,,,))</f>
        <v>lalawayhh@weather.com</v>
      </c>
      <c r="H622" s="9" t="str">
        <f>_xlfn.XLOOKUP(C622,customers!$A$2:$A$1001,customers!$G$2:$G$1001,"")</f>
        <v>United States</v>
      </c>
      <c r="I622" s="10" t="str">
        <f>INDEX(products!$A$2:$G$49,MATCH(orders!$D622,products!$A$2:$A$49,0),MATCH(orders!I$1,products!$A$1:$G$1,0))</f>
        <v>Ara</v>
      </c>
      <c r="J622" s="10" t="str">
        <f>INDEX(products!$A$2:$G$49,MATCH(orders!$D622,products!$A$2:$A$49,0),MATCH(orders!J$1,products!$A$1:$G$1,0))</f>
        <v>M</v>
      </c>
      <c r="K622" s="11">
        <f>INDEX(products!$A$2:$G$49,MATCH(orders!$D622,products!$A$2:$A$49,0),MATCH(orders!K$1,products!$A$1:$G$1,0))</f>
        <v>0.2</v>
      </c>
      <c r="L622" s="12">
        <f>INDEX(products!$A$2:$G$49,MATCH(orders!$D622,products!$A$2:$A$49,0),MATCH(orders!L$1,products!$A$1:$G$1,0))</f>
        <v>3.375</v>
      </c>
      <c r="M622" s="12">
        <f t="shared" si="27"/>
        <v>20.25</v>
      </c>
      <c r="N622" s="10" t="str">
        <f t="shared" si="28"/>
        <v>Arabica</v>
      </c>
      <c r="O622" s="10" t="str">
        <f t="shared" si="29"/>
        <v>Medium</v>
      </c>
      <c r="P622" s="10" t="str">
        <f>_xlfn.XLOOKUP(Tableau1[[#This Row],[Customer ID]],customers!A$2:A$1001,customers!I$2:I$1001)</f>
        <v>No</v>
      </c>
    </row>
    <row r="623" spans="1:16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9" t="str">
        <f>_xlfn.XLOOKUP(orders!C623,customers!$A$2:$A$1001,customers!$B$2:$B$1001)</f>
        <v>Cordy Odgaard</v>
      </c>
      <c r="G623" s="9" t="str">
        <f>IF(_xlfn.XLOOKUP(orders!C623,customers!$A$2:$A$1001,customers!$C$2:$C$1001,,,)=0,"",_xlfn.XLOOKUP(orders!C623,customers!$A$2:$A$1001,customers!$C$2:$C$1001,,,))</f>
        <v>codgaardh9@nsw.gov.au</v>
      </c>
      <c r="H623" s="9" t="str">
        <f>_xlfn.XLOOKUP(C623,customers!$A$2:$A$1001,customers!$G$2:$G$1001,"")</f>
        <v>United States</v>
      </c>
      <c r="I623" s="10" t="str">
        <f>INDEX(products!$A$2:$G$49,MATCH(orders!$D623,products!$A$2:$A$49,0),MATCH(orders!I$1,products!$A$1:$G$1,0))</f>
        <v>Ara</v>
      </c>
      <c r="J623" s="10" t="str">
        <f>INDEX(products!$A$2:$G$49,MATCH(orders!$D623,products!$A$2:$A$49,0),MATCH(orders!J$1,products!$A$1:$G$1,0))</f>
        <v>L</v>
      </c>
      <c r="K623" s="11">
        <f>INDEX(products!$A$2:$G$49,MATCH(orders!$D623,products!$A$2:$A$49,0),MATCH(orders!K$1,products!$A$1:$G$1,0))</f>
        <v>1</v>
      </c>
      <c r="L623" s="12">
        <f>INDEX(products!$A$2:$G$49,MATCH(orders!$D623,products!$A$2:$A$49,0),MATCH(orders!L$1,products!$A$1:$G$1,0))</f>
        <v>12.95</v>
      </c>
      <c r="M623" s="12">
        <f t="shared" si="27"/>
        <v>77.699999999999989</v>
      </c>
      <c r="N623" s="10" t="str">
        <f t="shared" si="28"/>
        <v>Arabica</v>
      </c>
      <c r="O623" s="10" t="str">
        <f t="shared" si="29"/>
        <v>Light</v>
      </c>
      <c r="P623" s="10" t="str">
        <f>_xlfn.XLOOKUP(Tableau1[[#This Row],[Customer ID]],customers!A$2:A$1001,customers!I$2:I$1001)</f>
        <v>No</v>
      </c>
    </row>
    <row r="624" spans="1:16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9" t="str">
        <f>_xlfn.XLOOKUP(orders!C624,customers!$A$2:$A$1001,customers!$B$2:$B$1001)</f>
        <v>Bertine Byrd</v>
      </c>
      <c r="G624" s="9" t="str">
        <f>IF(_xlfn.XLOOKUP(orders!C624,customers!$A$2:$A$1001,customers!$C$2:$C$1001,,,)=0,"",_xlfn.XLOOKUP(orders!C624,customers!$A$2:$A$1001,customers!$C$2:$C$1001,,,))</f>
        <v>bbyrdha@4shared.com</v>
      </c>
      <c r="H624" s="9" t="str">
        <f>_xlfn.XLOOKUP(C624,customers!$A$2:$A$1001,customers!$G$2:$G$1001,"")</f>
        <v>United States</v>
      </c>
      <c r="I624" s="10" t="str">
        <f>INDEX(products!$A$2:$G$49,MATCH(orders!$D624,products!$A$2:$A$49,0),MATCH(orders!I$1,products!$A$1:$G$1,0))</f>
        <v>Lib</v>
      </c>
      <c r="J624" s="10" t="str">
        <f>INDEX(products!$A$2:$G$49,MATCH(orders!$D624,products!$A$2:$A$49,0),MATCH(orders!J$1,products!$A$1:$G$1,0))</f>
        <v>M</v>
      </c>
      <c r="K624" s="11">
        <f>INDEX(products!$A$2:$G$49,MATCH(orders!$D624,products!$A$2:$A$49,0),MATCH(orders!K$1,products!$A$1:$G$1,0))</f>
        <v>2.5</v>
      </c>
      <c r="L624" s="12">
        <f>INDEX(products!$A$2:$G$49,MATCH(orders!$D624,products!$A$2:$A$49,0),MATCH(orders!L$1,products!$A$1:$G$1,0))</f>
        <v>33.464999999999996</v>
      </c>
      <c r="M624" s="12">
        <f t="shared" si="27"/>
        <v>133.85999999999999</v>
      </c>
      <c r="N624" s="10" t="str">
        <f t="shared" si="28"/>
        <v>Liberica</v>
      </c>
      <c r="O624" s="10" t="str">
        <f t="shared" si="29"/>
        <v>Medium</v>
      </c>
      <c r="P624" s="10" t="str">
        <f>_xlfn.XLOOKUP(Tableau1[[#This Row],[Customer ID]],customers!A$2:A$1001,customers!I$2:I$1001)</f>
        <v>No</v>
      </c>
    </row>
    <row r="625" spans="1:16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9" t="str">
        <f>_xlfn.XLOOKUP(orders!C625,customers!$A$2:$A$1001,customers!$B$2:$B$1001)</f>
        <v>Nelie Garnson</v>
      </c>
      <c r="G625" s="9" t="str">
        <f>IF(_xlfn.XLOOKUP(orders!C625,customers!$A$2:$A$1001,customers!$C$2:$C$1001,,,)=0,"",_xlfn.XLOOKUP(orders!C625,customers!$A$2:$A$1001,customers!$C$2:$C$1001,,,))</f>
        <v/>
      </c>
      <c r="H625" s="9" t="str">
        <f>_xlfn.XLOOKUP(C625,customers!$A$2:$A$1001,customers!$G$2:$G$1001,"")</f>
        <v>United Kingdom</v>
      </c>
      <c r="I625" s="10" t="str">
        <f>INDEX(products!$A$2:$G$49,MATCH(orders!$D625,products!$A$2:$A$49,0),MATCH(orders!I$1,products!$A$1:$G$1,0))</f>
        <v>Exc</v>
      </c>
      <c r="J625" s="10" t="str">
        <f>INDEX(products!$A$2:$G$49,MATCH(orders!$D625,products!$A$2:$A$49,0),MATCH(orders!J$1,products!$A$1:$G$1,0))</f>
        <v>D</v>
      </c>
      <c r="K625" s="11">
        <f>INDEX(products!$A$2:$G$49,MATCH(orders!$D625,products!$A$2:$A$49,0),MATCH(orders!K$1,products!$A$1:$G$1,0))</f>
        <v>1</v>
      </c>
      <c r="L625" s="12">
        <f>INDEX(products!$A$2:$G$49,MATCH(orders!$D625,products!$A$2:$A$49,0),MATCH(orders!L$1,products!$A$1:$G$1,0))</f>
        <v>12.15</v>
      </c>
      <c r="M625" s="12">
        <f t="shared" si="27"/>
        <v>12.15</v>
      </c>
      <c r="N625" s="10" t="str">
        <f t="shared" si="28"/>
        <v>Excelsa</v>
      </c>
      <c r="O625" s="10" t="str">
        <f t="shared" si="29"/>
        <v>Dark</v>
      </c>
      <c r="P625" s="10" t="str">
        <f>_xlfn.XLOOKUP(Tableau1[[#This Row],[Customer ID]],customers!A$2:A$1001,customers!I$2:I$1001)</f>
        <v>No</v>
      </c>
    </row>
    <row r="626" spans="1:16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9" t="str">
        <f>_xlfn.XLOOKUP(orders!C626,customers!$A$2:$A$1001,customers!$B$2:$B$1001)</f>
        <v>Dianne Chardin</v>
      </c>
      <c r="G626" s="9" t="str">
        <f>IF(_xlfn.XLOOKUP(orders!C626,customers!$A$2:$A$1001,customers!$C$2:$C$1001,,,)=0,"",_xlfn.XLOOKUP(orders!C626,customers!$A$2:$A$1001,customers!$C$2:$C$1001,,,))</f>
        <v>dchardinhc@nhs.uk</v>
      </c>
      <c r="H626" s="9" t="str">
        <f>_xlfn.XLOOKUP(C626,customers!$A$2:$A$1001,customers!$G$2:$G$1001,"")</f>
        <v>Ireland</v>
      </c>
      <c r="I626" s="10" t="str">
        <f>INDEX(products!$A$2:$G$49,MATCH(orders!$D626,products!$A$2:$A$49,0),MATCH(orders!I$1,products!$A$1:$G$1,0))</f>
        <v>Exc</v>
      </c>
      <c r="J626" s="10" t="str">
        <f>INDEX(products!$A$2:$G$49,MATCH(orders!$D626,products!$A$2:$A$49,0),MATCH(orders!J$1,products!$A$1:$G$1,0))</f>
        <v>M</v>
      </c>
      <c r="K626" s="11">
        <f>INDEX(products!$A$2:$G$49,MATCH(orders!$D626,products!$A$2:$A$49,0),MATCH(orders!K$1,products!$A$1:$G$1,0))</f>
        <v>2.5</v>
      </c>
      <c r="L626" s="12">
        <f>INDEX(products!$A$2:$G$49,MATCH(orders!$D626,products!$A$2:$A$49,0),MATCH(orders!L$1,products!$A$1:$G$1,0))</f>
        <v>31.624999999999996</v>
      </c>
      <c r="M626" s="12">
        <f t="shared" si="27"/>
        <v>63.249999999999993</v>
      </c>
      <c r="N626" s="10" t="str">
        <f t="shared" si="28"/>
        <v>Excelsa</v>
      </c>
      <c r="O626" s="10" t="str">
        <f t="shared" si="29"/>
        <v>Medium</v>
      </c>
      <c r="P626" s="10" t="str">
        <f>_xlfn.XLOOKUP(Tableau1[[#This Row],[Customer ID]],customers!A$2:A$1001,customers!I$2:I$1001)</f>
        <v>Yes</v>
      </c>
    </row>
    <row r="627" spans="1:16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9" t="str">
        <f>_xlfn.XLOOKUP(orders!C627,customers!$A$2:$A$1001,customers!$B$2:$B$1001)</f>
        <v>Hailee Radbone</v>
      </c>
      <c r="G627" s="9" t="str">
        <f>IF(_xlfn.XLOOKUP(orders!C627,customers!$A$2:$A$1001,customers!$C$2:$C$1001,,,)=0,"",_xlfn.XLOOKUP(orders!C627,customers!$A$2:$A$1001,customers!$C$2:$C$1001,,,))</f>
        <v>hradbonehd@newsvine.com</v>
      </c>
      <c r="H627" s="9" t="str">
        <f>_xlfn.XLOOKUP(C627,customers!$A$2:$A$1001,customers!$G$2:$G$1001,"")</f>
        <v>United States</v>
      </c>
      <c r="I627" s="10" t="str">
        <f>INDEX(products!$A$2:$G$49,MATCH(orders!$D627,products!$A$2:$A$49,0),MATCH(orders!I$1,products!$A$1:$G$1,0))</f>
        <v>Rob</v>
      </c>
      <c r="J627" s="10" t="str">
        <f>INDEX(products!$A$2:$G$49,MATCH(orders!$D627,products!$A$2:$A$49,0),MATCH(orders!J$1,products!$A$1:$G$1,0))</f>
        <v>L</v>
      </c>
      <c r="K627" s="11">
        <f>INDEX(products!$A$2:$G$49,MATCH(orders!$D627,products!$A$2:$A$49,0),MATCH(orders!K$1,products!$A$1:$G$1,0))</f>
        <v>0.5</v>
      </c>
      <c r="L627" s="12">
        <f>INDEX(products!$A$2:$G$49,MATCH(orders!$D627,products!$A$2:$A$49,0),MATCH(orders!L$1,products!$A$1:$G$1,0))</f>
        <v>7.169999999999999</v>
      </c>
      <c r="M627" s="12">
        <f t="shared" si="27"/>
        <v>35.849999999999994</v>
      </c>
      <c r="N627" s="10" t="str">
        <f t="shared" si="28"/>
        <v>Robusta</v>
      </c>
      <c r="O627" s="10" t="str">
        <f t="shared" si="29"/>
        <v>Light</v>
      </c>
      <c r="P627" s="10" t="str">
        <f>_xlfn.XLOOKUP(Tableau1[[#This Row],[Customer ID]],customers!A$2:A$1001,customers!I$2:I$1001)</f>
        <v>No</v>
      </c>
    </row>
    <row r="628" spans="1:16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9" t="str">
        <f>_xlfn.XLOOKUP(orders!C628,customers!$A$2:$A$1001,customers!$B$2:$B$1001)</f>
        <v>Wallis Bernth</v>
      </c>
      <c r="G628" s="9" t="str">
        <f>IF(_xlfn.XLOOKUP(orders!C628,customers!$A$2:$A$1001,customers!$C$2:$C$1001,,,)=0,"",_xlfn.XLOOKUP(orders!C628,customers!$A$2:$A$1001,customers!$C$2:$C$1001,,,))</f>
        <v>wbernthhe@miitbeian.gov.cn</v>
      </c>
      <c r="H628" s="9" t="str">
        <f>_xlfn.XLOOKUP(C628,customers!$A$2:$A$1001,customers!$G$2:$G$1001,"")</f>
        <v>United States</v>
      </c>
      <c r="I628" s="10" t="str">
        <f>INDEX(products!$A$2:$G$49,MATCH(orders!$D628,products!$A$2:$A$49,0),MATCH(orders!I$1,products!$A$1:$G$1,0))</f>
        <v>Ara</v>
      </c>
      <c r="J628" s="10" t="str">
        <f>INDEX(products!$A$2:$G$49,MATCH(orders!$D628,products!$A$2:$A$49,0),MATCH(orders!J$1,products!$A$1:$G$1,0))</f>
        <v>M</v>
      </c>
      <c r="K628" s="11">
        <f>INDEX(products!$A$2:$G$49,MATCH(orders!$D628,products!$A$2:$A$49,0),MATCH(orders!K$1,products!$A$1:$G$1,0))</f>
        <v>2.5</v>
      </c>
      <c r="L628" s="12">
        <f>INDEX(products!$A$2:$G$49,MATCH(orders!$D628,products!$A$2:$A$49,0),MATCH(orders!L$1,products!$A$1:$G$1,0))</f>
        <v>25.874999999999996</v>
      </c>
      <c r="M628" s="12">
        <f t="shared" si="27"/>
        <v>77.624999999999986</v>
      </c>
      <c r="N628" s="10" t="str">
        <f t="shared" si="28"/>
        <v>Arabica</v>
      </c>
      <c r="O628" s="10" t="str">
        <f t="shared" si="29"/>
        <v>Medium</v>
      </c>
      <c r="P628" s="10" t="str">
        <f>_xlfn.XLOOKUP(Tableau1[[#This Row],[Customer ID]],customers!A$2:A$1001,customers!I$2:I$1001)</f>
        <v>No</v>
      </c>
    </row>
    <row r="629" spans="1:16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9" t="str">
        <f>_xlfn.XLOOKUP(orders!C629,customers!$A$2:$A$1001,customers!$B$2:$B$1001)</f>
        <v>Byron Acarson</v>
      </c>
      <c r="G629" s="9" t="str">
        <f>IF(_xlfn.XLOOKUP(orders!C629,customers!$A$2:$A$1001,customers!$C$2:$C$1001,,,)=0,"",_xlfn.XLOOKUP(orders!C629,customers!$A$2:$A$1001,customers!$C$2:$C$1001,,,))</f>
        <v>bacarsonhf@cnn.com</v>
      </c>
      <c r="H629" s="9" t="str">
        <f>_xlfn.XLOOKUP(C629,customers!$A$2:$A$1001,customers!$G$2:$G$1001,"")</f>
        <v>United States</v>
      </c>
      <c r="I629" s="10" t="str">
        <f>INDEX(products!$A$2:$G$49,MATCH(orders!$D629,products!$A$2:$A$49,0),MATCH(orders!I$1,products!$A$1:$G$1,0))</f>
        <v>Exc</v>
      </c>
      <c r="J629" s="10" t="str">
        <f>INDEX(products!$A$2:$G$49,MATCH(orders!$D629,products!$A$2:$A$49,0),MATCH(orders!J$1,products!$A$1:$G$1,0))</f>
        <v>M</v>
      </c>
      <c r="K629" s="11">
        <f>INDEX(products!$A$2:$G$49,MATCH(orders!$D629,products!$A$2:$A$49,0),MATCH(orders!K$1,products!$A$1:$G$1,0))</f>
        <v>2.5</v>
      </c>
      <c r="L629" s="12">
        <f>INDEX(products!$A$2:$G$49,MATCH(orders!$D629,products!$A$2:$A$49,0),MATCH(orders!L$1,products!$A$1:$G$1,0))</f>
        <v>31.624999999999996</v>
      </c>
      <c r="M629" s="12">
        <f t="shared" si="27"/>
        <v>63.249999999999993</v>
      </c>
      <c r="N629" s="10" t="str">
        <f t="shared" si="28"/>
        <v>Excelsa</v>
      </c>
      <c r="O629" s="10" t="str">
        <f t="shared" si="29"/>
        <v>Medium</v>
      </c>
      <c r="P629" s="10" t="str">
        <f>_xlfn.XLOOKUP(Tableau1[[#This Row],[Customer ID]],customers!A$2:A$1001,customers!I$2:I$1001)</f>
        <v>Yes</v>
      </c>
    </row>
    <row r="630" spans="1:16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9" t="str">
        <f>_xlfn.XLOOKUP(orders!C630,customers!$A$2:$A$1001,customers!$B$2:$B$1001)</f>
        <v>Faunie Brigham</v>
      </c>
      <c r="G630" s="9" t="str">
        <f>IF(_xlfn.XLOOKUP(orders!C630,customers!$A$2:$A$1001,customers!$C$2:$C$1001,,,)=0,"",_xlfn.XLOOKUP(orders!C630,customers!$A$2:$A$1001,customers!$C$2:$C$1001,,,))</f>
        <v>fbrighamhg@blog.com</v>
      </c>
      <c r="H630" s="9" t="str">
        <f>_xlfn.XLOOKUP(C630,customers!$A$2:$A$1001,customers!$G$2:$G$1001,"")</f>
        <v>Ireland</v>
      </c>
      <c r="I630" s="10" t="str">
        <f>INDEX(products!$A$2:$G$49,MATCH(orders!$D630,products!$A$2:$A$49,0),MATCH(orders!I$1,products!$A$1:$G$1,0))</f>
        <v>Exc</v>
      </c>
      <c r="J630" s="10" t="str">
        <f>INDEX(products!$A$2:$G$49,MATCH(orders!$D630,products!$A$2:$A$49,0),MATCH(orders!J$1,products!$A$1:$G$1,0))</f>
        <v>L</v>
      </c>
      <c r="K630" s="11">
        <f>INDEX(products!$A$2:$G$49,MATCH(orders!$D630,products!$A$2:$A$49,0),MATCH(orders!K$1,products!$A$1:$G$1,0))</f>
        <v>0.2</v>
      </c>
      <c r="L630" s="12">
        <f>INDEX(products!$A$2:$G$49,MATCH(orders!$D630,products!$A$2:$A$49,0),MATCH(orders!L$1,products!$A$1:$G$1,0))</f>
        <v>4.4550000000000001</v>
      </c>
      <c r="M630" s="12">
        <f t="shared" si="27"/>
        <v>26.73</v>
      </c>
      <c r="N630" s="10" t="str">
        <f t="shared" si="28"/>
        <v>Excelsa</v>
      </c>
      <c r="O630" s="10" t="str">
        <f t="shared" si="29"/>
        <v>Light</v>
      </c>
      <c r="P630" s="10" t="str">
        <f>_xlfn.XLOOKUP(Tableau1[[#This Row],[Customer ID]],customers!A$2:A$1001,customers!I$2:I$1001)</f>
        <v>Yes</v>
      </c>
    </row>
    <row r="631" spans="1:16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9" t="str">
        <f>_xlfn.XLOOKUP(orders!C631,customers!$A$2:$A$1001,customers!$B$2:$B$1001)</f>
        <v>Faunie Brigham</v>
      </c>
      <c r="G631" s="9" t="str">
        <f>IF(_xlfn.XLOOKUP(orders!C631,customers!$A$2:$A$1001,customers!$C$2:$C$1001,,,)=0,"",_xlfn.XLOOKUP(orders!C631,customers!$A$2:$A$1001,customers!$C$2:$C$1001,,,))</f>
        <v>fbrighamhg@blog.com</v>
      </c>
      <c r="H631" s="9" t="str">
        <f>_xlfn.XLOOKUP(C631,customers!$A$2:$A$1001,customers!$G$2:$G$1001,"")</f>
        <v>Ireland</v>
      </c>
      <c r="I631" s="10" t="str">
        <f>INDEX(products!$A$2:$G$49,MATCH(orders!$D631,products!$A$2:$A$49,0),MATCH(orders!I$1,products!$A$1:$G$1,0))</f>
        <v>Lib</v>
      </c>
      <c r="J631" s="10" t="str">
        <f>INDEX(products!$A$2:$G$49,MATCH(orders!$D631,products!$A$2:$A$49,0),MATCH(orders!J$1,products!$A$1:$G$1,0))</f>
        <v>D</v>
      </c>
      <c r="K631" s="11">
        <f>INDEX(products!$A$2:$G$49,MATCH(orders!$D631,products!$A$2:$A$49,0),MATCH(orders!K$1,products!$A$1:$G$1,0))</f>
        <v>0.5</v>
      </c>
      <c r="L631" s="12">
        <f>INDEX(products!$A$2:$G$49,MATCH(orders!$D631,products!$A$2:$A$49,0),MATCH(orders!L$1,products!$A$1:$G$1,0))</f>
        <v>7.77</v>
      </c>
      <c r="M631" s="12">
        <f t="shared" si="27"/>
        <v>31.08</v>
      </c>
      <c r="N631" s="10" t="str">
        <f t="shared" si="28"/>
        <v>Liberica</v>
      </c>
      <c r="O631" s="10" t="str">
        <f t="shared" si="29"/>
        <v>Dark</v>
      </c>
      <c r="P631" s="10" t="str">
        <f>_xlfn.XLOOKUP(Tableau1[[#This Row],[Customer ID]],customers!A$2:A$1001,customers!I$2:I$1001)</f>
        <v>Yes</v>
      </c>
    </row>
    <row r="632" spans="1:16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9" t="str">
        <f>_xlfn.XLOOKUP(orders!C632,customers!$A$2:$A$1001,customers!$B$2:$B$1001)</f>
        <v>Faunie Brigham</v>
      </c>
      <c r="G632" s="9" t="str">
        <f>IF(_xlfn.XLOOKUP(orders!C632,customers!$A$2:$A$1001,customers!$C$2:$C$1001,,,)=0,"",_xlfn.XLOOKUP(orders!C632,customers!$A$2:$A$1001,customers!$C$2:$C$1001,,,))</f>
        <v>fbrighamhg@blog.com</v>
      </c>
      <c r="H632" s="9" t="str">
        <f>_xlfn.XLOOKUP(C632,customers!$A$2:$A$1001,customers!$G$2:$G$1001,"")</f>
        <v>Ireland</v>
      </c>
      <c r="I632" s="10" t="str">
        <f>INDEX(products!$A$2:$G$49,MATCH(orders!$D632,products!$A$2:$A$49,0),MATCH(orders!I$1,products!$A$1:$G$1,0))</f>
        <v>Ara</v>
      </c>
      <c r="J632" s="10" t="str">
        <f>INDEX(products!$A$2:$G$49,MATCH(orders!$D632,products!$A$2:$A$49,0),MATCH(orders!J$1,products!$A$1:$G$1,0))</f>
        <v>D</v>
      </c>
      <c r="K632" s="11">
        <f>INDEX(products!$A$2:$G$49,MATCH(orders!$D632,products!$A$2:$A$49,0),MATCH(orders!K$1,products!$A$1:$G$1,0))</f>
        <v>0.2</v>
      </c>
      <c r="L632" s="12">
        <f>INDEX(products!$A$2:$G$49,MATCH(orders!$D632,products!$A$2:$A$49,0),MATCH(orders!L$1,products!$A$1:$G$1,0))</f>
        <v>2.9849999999999999</v>
      </c>
      <c r="M632" s="12">
        <f t="shared" si="27"/>
        <v>2.9849999999999999</v>
      </c>
      <c r="N632" s="10" t="str">
        <f t="shared" si="28"/>
        <v>Arabica</v>
      </c>
      <c r="O632" s="10" t="str">
        <f t="shared" si="29"/>
        <v>Dark</v>
      </c>
      <c r="P632" s="10" t="str">
        <f>_xlfn.XLOOKUP(Tableau1[[#This Row],[Customer ID]],customers!A$2:A$1001,customers!I$2:I$1001)</f>
        <v>Yes</v>
      </c>
    </row>
    <row r="633" spans="1:16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9" t="str">
        <f>_xlfn.XLOOKUP(orders!C633,customers!$A$2:$A$1001,customers!$B$2:$B$1001)</f>
        <v>Faunie Brigham</v>
      </c>
      <c r="G633" s="9" t="str">
        <f>IF(_xlfn.XLOOKUP(orders!C633,customers!$A$2:$A$1001,customers!$C$2:$C$1001,,,)=0,"",_xlfn.XLOOKUP(orders!C633,customers!$A$2:$A$1001,customers!$C$2:$C$1001,,,))</f>
        <v>fbrighamhg@blog.com</v>
      </c>
      <c r="H633" s="9" t="str">
        <f>_xlfn.XLOOKUP(C633,customers!$A$2:$A$1001,customers!$G$2:$G$1001,"")</f>
        <v>Ireland</v>
      </c>
      <c r="I633" s="10" t="str">
        <f>INDEX(products!$A$2:$G$49,MATCH(orders!$D633,products!$A$2:$A$49,0),MATCH(orders!I$1,products!$A$1:$G$1,0))</f>
        <v>Rob</v>
      </c>
      <c r="J633" s="10" t="str">
        <f>INDEX(products!$A$2:$G$49,MATCH(orders!$D633,products!$A$2:$A$49,0),MATCH(orders!J$1,products!$A$1:$G$1,0))</f>
        <v>D</v>
      </c>
      <c r="K633" s="11">
        <f>INDEX(products!$A$2:$G$49,MATCH(orders!$D633,products!$A$2:$A$49,0),MATCH(orders!K$1,products!$A$1:$G$1,0))</f>
        <v>2.5</v>
      </c>
      <c r="L633" s="12">
        <f>INDEX(products!$A$2:$G$49,MATCH(orders!$D633,products!$A$2:$A$49,0),MATCH(orders!L$1,products!$A$1:$G$1,0))</f>
        <v>20.584999999999997</v>
      </c>
      <c r="M633" s="12">
        <f t="shared" si="27"/>
        <v>102.92499999999998</v>
      </c>
      <c r="N633" s="10" t="str">
        <f t="shared" si="28"/>
        <v>Robusta</v>
      </c>
      <c r="O633" s="10" t="str">
        <f t="shared" si="29"/>
        <v>Dark</v>
      </c>
      <c r="P633" s="10" t="str">
        <f>_xlfn.XLOOKUP(Tableau1[[#This Row],[Customer ID]],customers!A$2:A$1001,customers!I$2:I$1001)</f>
        <v>Yes</v>
      </c>
    </row>
    <row r="634" spans="1:16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9" t="str">
        <f>_xlfn.XLOOKUP(orders!C634,customers!$A$2:$A$1001,customers!$B$2:$B$1001)</f>
        <v>Marjorie Yoxen</v>
      </c>
      <c r="G634" s="9" t="str">
        <f>IF(_xlfn.XLOOKUP(orders!C634,customers!$A$2:$A$1001,customers!$C$2:$C$1001,,,)=0,"",_xlfn.XLOOKUP(orders!C634,customers!$A$2:$A$1001,customers!$C$2:$C$1001,,,))</f>
        <v>myoxenhk@google.com</v>
      </c>
      <c r="H634" s="9" t="str">
        <f>_xlfn.XLOOKUP(C634,customers!$A$2:$A$1001,customers!$G$2:$G$1001,"")</f>
        <v>United States</v>
      </c>
      <c r="I634" s="10" t="str">
        <f>INDEX(products!$A$2:$G$49,MATCH(orders!$D634,products!$A$2:$A$49,0),MATCH(orders!I$1,products!$A$1:$G$1,0))</f>
        <v>Exc</v>
      </c>
      <c r="J634" s="10" t="str">
        <f>INDEX(products!$A$2:$G$49,MATCH(orders!$D634,products!$A$2:$A$49,0),MATCH(orders!J$1,products!$A$1:$G$1,0))</f>
        <v>L</v>
      </c>
      <c r="K634" s="11">
        <f>INDEX(products!$A$2:$G$49,MATCH(orders!$D634,products!$A$2:$A$49,0),MATCH(orders!K$1,products!$A$1:$G$1,0))</f>
        <v>0.5</v>
      </c>
      <c r="L634" s="12">
        <f>INDEX(products!$A$2:$G$49,MATCH(orders!$D634,products!$A$2:$A$49,0),MATCH(orders!L$1,products!$A$1:$G$1,0))</f>
        <v>8.91</v>
      </c>
      <c r="M634" s="12">
        <f t="shared" si="27"/>
        <v>35.64</v>
      </c>
      <c r="N634" s="10" t="str">
        <f t="shared" si="28"/>
        <v>Excelsa</v>
      </c>
      <c r="O634" s="10" t="str">
        <f t="shared" si="29"/>
        <v>Light</v>
      </c>
      <c r="P634" s="10" t="str">
        <f>_xlfn.XLOOKUP(Tableau1[[#This Row],[Customer ID]],customers!A$2:A$1001,customers!I$2:I$1001)</f>
        <v>No</v>
      </c>
    </row>
    <row r="635" spans="1:16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9" t="str">
        <f>_xlfn.XLOOKUP(orders!C635,customers!$A$2:$A$1001,customers!$B$2:$B$1001)</f>
        <v>Gaspar McGavin</v>
      </c>
      <c r="G635" s="9" t="str">
        <f>IF(_xlfn.XLOOKUP(orders!C635,customers!$A$2:$A$1001,customers!$C$2:$C$1001,,,)=0,"",_xlfn.XLOOKUP(orders!C635,customers!$A$2:$A$1001,customers!$C$2:$C$1001,,,))</f>
        <v>gmcgavinhl@histats.com</v>
      </c>
      <c r="H635" s="9" t="str">
        <f>_xlfn.XLOOKUP(C635,customers!$A$2:$A$1001,customers!$G$2:$G$1001,"")</f>
        <v>United States</v>
      </c>
      <c r="I635" s="10" t="str">
        <f>INDEX(products!$A$2:$G$49,MATCH(orders!$D635,products!$A$2:$A$49,0),MATCH(orders!I$1,products!$A$1:$G$1,0))</f>
        <v>Rob</v>
      </c>
      <c r="J635" s="10" t="str">
        <f>INDEX(products!$A$2:$G$49,MATCH(orders!$D635,products!$A$2:$A$49,0),MATCH(orders!J$1,products!$A$1:$G$1,0))</f>
        <v>L</v>
      </c>
      <c r="K635" s="11">
        <f>INDEX(products!$A$2:$G$49,MATCH(orders!$D635,products!$A$2:$A$49,0),MATCH(orders!K$1,products!$A$1:$G$1,0))</f>
        <v>1</v>
      </c>
      <c r="L635" s="12">
        <f>INDEX(products!$A$2:$G$49,MATCH(orders!$D635,products!$A$2:$A$49,0),MATCH(orders!L$1,products!$A$1:$G$1,0))</f>
        <v>11.95</v>
      </c>
      <c r="M635" s="12">
        <f t="shared" si="27"/>
        <v>47.8</v>
      </c>
      <c r="N635" s="10" t="str">
        <f t="shared" si="28"/>
        <v>Robusta</v>
      </c>
      <c r="O635" s="10" t="str">
        <f t="shared" si="29"/>
        <v>Light</v>
      </c>
      <c r="P635" s="10" t="str">
        <f>_xlfn.XLOOKUP(Tableau1[[#This Row],[Customer ID]],customers!A$2:A$1001,customers!I$2:I$1001)</f>
        <v>No</v>
      </c>
    </row>
    <row r="636" spans="1:16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9" t="str">
        <f>_xlfn.XLOOKUP(orders!C636,customers!$A$2:$A$1001,customers!$B$2:$B$1001)</f>
        <v>Lindy Uttermare</v>
      </c>
      <c r="G636" s="9" t="str">
        <f>IF(_xlfn.XLOOKUP(orders!C636,customers!$A$2:$A$1001,customers!$C$2:$C$1001,,,)=0,"",_xlfn.XLOOKUP(orders!C636,customers!$A$2:$A$1001,customers!$C$2:$C$1001,,,))</f>
        <v>luttermarehm@engadget.com</v>
      </c>
      <c r="H636" s="9" t="str">
        <f>_xlfn.XLOOKUP(C636,customers!$A$2:$A$1001,customers!$G$2:$G$1001,"")</f>
        <v>United States</v>
      </c>
      <c r="I636" s="10" t="str">
        <f>INDEX(products!$A$2:$G$49,MATCH(orders!$D636,products!$A$2:$A$49,0),MATCH(orders!I$1,products!$A$1:$G$1,0))</f>
        <v>Lib</v>
      </c>
      <c r="J636" s="10" t="str">
        <f>INDEX(products!$A$2:$G$49,MATCH(orders!$D636,products!$A$2:$A$49,0),MATCH(orders!J$1,products!$A$1:$G$1,0))</f>
        <v>M</v>
      </c>
      <c r="K636" s="11">
        <f>INDEX(products!$A$2:$G$49,MATCH(orders!$D636,products!$A$2:$A$49,0),MATCH(orders!K$1,products!$A$1:$G$1,0))</f>
        <v>1</v>
      </c>
      <c r="L636" s="12">
        <f>INDEX(products!$A$2:$G$49,MATCH(orders!$D636,products!$A$2:$A$49,0),MATCH(orders!L$1,products!$A$1:$G$1,0))</f>
        <v>14.55</v>
      </c>
      <c r="M636" s="12">
        <f t="shared" si="27"/>
        <v>43.650000000000006</v>
      </c>
      <c r="N636" s="10" t="str">
        <f t="shared" si="28"/>
        <v>Liberica</v>
      </c>
      <c r="O636" s="10" t="str">
        <f t="shared" si="29"/>
        <v>Medium</v>
      </c>
      <c r="P636" s="10" t="str">
        <f>_xlfn.XLOOKUP(Tableau1[[#This Row],[Customer ID]],customers!A$2:A$1001,customers!I$2:I$1001)</f>
        <v>No</v>
      </c>
    </row>
    <row r="637" spans="1:16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9" t="str">
        <f>_xlfn.XLOOKUP(orders!C637,customers!$A$2:$A$1001,customers!$B$2:$B$1001)</f>
        <v>Eal D'Ambrogio</v>
      </c>
      <c r="G637" s="9" t="str">
        <f>IF(_xlfn.XLOOKUP(orders!C637,customers!$A$2:$A$1001,customers!$C$2:$C$1001,,,)=0,"",_xlfn.XLOOKUP(orders!C637,customers!$A$2:$A$1001,customers!$C$2:$C$1001,,,))</f>
        <v>edambrogiohn@techcrunch.com</v>
      </c>
      <c r="H637" s="9" t="str">
        <f>_xlfn.XLOOKUP(C637,customers!$A$2:$A$1001,customers!$G$2:$G$1001,"")</f>
        <v>United States</v>
      </c>
      <c r="I637" s="10" t="str">
        <f>INDEX(products!$A$2:$G$49,MATCH(orders!$D637,products!$A$2:$A$49,0),MATCH(orders!I$1,products!$A$1:$G$1,0))</f>
        <v>Exc</v>
      </c>
      <c r="J637" s="10" t="str">
        <f>INDEX(products!$A$2:$G$49,MATCH(orders!$D637,products!$A$2:$A$49,0),MATCH(orders!J$1,products!$A$1:$G$1,0))</f>
        <v>L</v>
      </c>
      <c r="K637" s="11">
        <f>INDEX(products!$A$2:$G$49,MATCH(orders!$D637,products!$A$2:$A$49,0),MATCH(orders!K$1,products!$A$1:$G$1,0))</f>
        <v>0.5</v>
      </c>
      <c r="L637" s="12">
        <f>INDEX(products!$A$2:$G$49,MATCH(orders!$D637,products!$A$2:$A$49,0),MATCH(orders!L$1,products!$A$1:$G$1,0))</f>
        <v>8.91</v>
      </c>
      <c r="M637" s="12">
        <f t="shared" si="27"/>
        <v>35.64</v>
      </c>
      <c r="N637" s="10" t="str">
        <f t="shared" si="28"/>
        <v>Excelsa</v>
      </c>
      <c r="O637" s="10" t="str">
        <f t="shared" si="29"/>
        <v>Light</v>
      </c>
      <c r="P637" s="10" t="str">
        <f>_xlfn.XLOOKUP(Tableau1[[#This Row],[Customer ID]],customers!A$2:A$1001,customers!I$2:I$1001)</f>
        <v>Yes</v>
      </c>
    </row>
    <row r="638" spans="1:16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9" t="str">
        <f>_xlfn.XLOOKUP(orders!C638,customers!$A$2:$A$1001,customers!$B$2:$B$1001)</f>
        <v>Carolee Winchcombe</v>
      </c>
      <c r="G638" s="9" t="str">
        <f>IF(_xlfn.XLOOKUP(orders!C638,customers!$A$2:$A$1001,customers!$C$2:$C$1001,,,)=0,"",_xlfn.XLOOKUP(orders!C638,customers!$A$2:$A$1001,customers!$C$2:$C$1001,,,))</f>
        <v>cwinchcombeho@jiathis.com</v>
      </c>
      <c r="H638" s="9" t="str">
        <f>_xlfn.XLOOKUP(C638,customers!$A$2:$A$1001,customers!$G$2:$G$1001,"")</f>
        <v>United States</v>
      </c>
      <c r="I638" s="10" t="str">
        <f>INDEX(products!$A$2:$G$49,MATCH(orders!$D638,products!$A$2:$A$49,0),MATCH(orders!I$1,products!$A$1:$G$1,0))</f>
        <v>Lib</v>
      </c>
      <c r="J638" s="10" t="str">
        <f>INDEX(products!$A$2:$G$49,MATCH(orders!$D638,products!$A$2:$A$49,0),MATCH(orders!J$1,products!$A$1:$G$1,0))</f>
        <v>L</v>
      </c>
      <c r="K638" s="11">
        <f>INDEX(products!$A$2:$G$49,MATCH(orders!$D638,products!$A$2:$A$49,0),MATCH(orders!K$1,products!$A$1:$G$1,0))</f>
        <v>1</v>
      </c>
      <c r="L638" s="12">
        <f>INDEX(products!$A$2:$G$49,MATCH(orders!$D638,products!$A$2:$A$49,0),MATCH(orders!L$1,products!$A$1:$G$1,0))</f>
        <v>15.85</v>
      </c>
      <c r="M638" s="12">
        <f t="shared" si="27"/>
        <v>95.1</v>
      </c>
      <c r="N638" s="10" t="str">
        <f t="shared" si="28"/>
        <v>Liberica</v>
      </c>
      <c r="O638" s="10" t="str">
        <f t="shared" si="29"/>
        <v>Light</v>
      </c>
      <c r="P638" s="10" t="str">
        <f>_xlfn.XLOOKUP(Tableau1[[#This Row],[Customer ID]],customers!A$2:A$1001,customers!I$2:I$1001)</f>
        <v>Yes</v>
      </c>
    </row>
    <row r="639" spans="1:16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9" t="str">
        <f>_xlfn.XLOOKUP(orders!C639,customers!$A$2:$A$1001,customers!$B$2:$B$1001)</f>
        <v>Benedikta Paumier</v>
      </c>
      <c r="G639" s="9" t="str">
        <f>IF(_xlfn.XLOOKUP(orders!C639,customers!$A$2:$A$1001,customers!$C$2:$C$1001,,,)=0,"",_xlfn.XLOOKUP(orders!C639,customers!$A$2:$A$1001,customers!$C$2:$C$1001,,,))</f>
        <v>bpaumierhp@umn.edu</v>
      </c>
      <c r="H639" s="9" t="str">
        <f>_xlfn.XLOOKUP(C639,customers!$A$2:$A$1001,customers!$G$2:$G$1001,"")</f>
        <v>Ireland</v>
      </c>
      <c r="I639" s="10" t="str">
        <f>INDEX(products!$A$2:$G$49,MATCH(orders!$D639,products!$A$2:$A$49,0),MATCH(orders!I$1,products!$A$1:$G$1,0))</f>
        <v>Exc</v>
      </c>
      <c r="J639" s="10" t="str">
        <f>INDEX(products!$A$2:$G$49,MATCH(orders!$D639,products!$A$2:$A$49,0),MATCH(orders!J$1,products!$A$1:$G$1,0))</f>
        <v>M</v>
      </c>
      <c r="K639" s="11">
        <f>INDEX(products!$A$2:$G$49,MATCH(orders!$D639,products!$A$2:$A$49,0),MATCH(orders!K$1,products!$A$1:$G$1,0))</f>
        <v>2.5</v>
      </c>
      <c r="L639" s="12">
        <f>INDEX(products!$A$2:$G$49,MATCH(orders!$D639,products!$A$2:$A$49,0),MATCH(orders!L$1,products!$A$1:$G$1,0))</f>
        <v>31.624999999999996</v>
      </c>
      <c r="M639" s="12">
        <f t="shared" si="27"/>
        <v>31.624999999999996</v>
      </c>
      <c r="N639" s="10" t="str">
        <f t="shared" si="28"/>
        <v>Excelsa</v>
      </c>
      <c r="O639" s="10" t="str">
        <f t="shared" si="29"/>
        <v>Medium</v>
      </c>
      <c r="P639" s="10" t="str">
        <f>_xlfn.XLOOKUP(Tableau1[[#This Row],[Customer ID]],customers!A$2:A$1001,customers!I$2:I$1001)</f>
        <v>Yes</v>
      </c>
    </row>
    <row r="640" spans="1:16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9" t="str">
        <f>_xlfn.XLOOKUP(orders!C640,customers!$A$2:$A$1001,customers!$B$2:$B$1001)</f>
        <v>Neville Piatto</v>
      </c>
      <c r="G640" s="9" t="str">
        <f>IF(_xlfn.XLOOKUP(orders!C640,customers!$A$2:$A$1001,customers!$C$2:$C$1001,,,)=0,"",_xlfn.XLOOKUP(orders!C640,customers!$A$2:$A$1001,customers!$C$2:$C$1001,,,))</f>
        <v/>
      </c>
      <c r="H640" s="9" t="str">
        <f>_xlfn.XLOOKUP(C640,customers!$A$2:$A$1001,customers!$G$2:$G$1001,"")</f>
        <v>Ireland</v>
      </c>
      <c r="I640" s="10" t="str">
        <f>INDEX(products!$A$2:$G$49,MATCH(orders!$D640,products!$A$2:$A$49,0),MATCH(orders!I$1,products!$A$1:$G$1,0))</f>
        <v>Ara</v>
      </c>
      <c r="J640" s="10" t="str">
        <f>INDEX(products!$A$2:$G$49,MATCH(orders!$D640,products!$A$2:$A$49,0),MATCH(orders!J$1,products!$A$1:$G$1,0))</f>
        <v>M</v>
      </c>
      <c r="K640" s="11">
        <f>INDEX(products!$A$2:$G$49,MATCH(orders!$D640,products!$A$2:$A$49,0),MATCH(orders!K$1,products!$A$1:$G$1,0))</f>
        <v>2.5</v>
      </c>
      <c r="L640" s="12">
        <f>INDEX(products!$A$2:$G$49,MATCH(orders!$D640,products!$A$2:$A$49,0),MATCH(orders!L$1,products!$A$1:$G$1,0))</f>
        <v>25.874999999999996</v>
      </c>
      <c r="M640" s="12">
        <f t="shared" si="27"/>
        <v>77.624999999999986</v>
      </c>
      <c r="N640" s="10" t="str">
        <f t="shared" si="28"/>
        <v>Arabica</v>
      </c>
      <c r="O640" s="10" t="str">
        <f t="shared" si="29"/>
        <v>Medium</v>
      </c>
      <c r="P640" s="10" t="str">
        <f>_xlfn.XLOOKUP(Tableau1[[#This Row],[Customer ID]],customers!A$2:A$1001,customers!I$2:I$1001)</f>
        <v>Yes</v>
      </c>
    </row>
    <row r="641" spans="1:16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9" t="str">
        <f>_xlfn.XLOOKUP(orders!C641,customers!$A$2:$A$1001,customers!$B$2:$B$1001)</f>
        <v>Jeno Capey</v>
      </c>
      <c r="G641" s="9" t="str">
        <f>IF(_xlfn.XLOOKUP(orders!C641,customers!$A$2:$A$1001,customers!$C$2:$C$1001,,,)=0,"",_xlfn.XLOOKUP(orders!C641,customers!$A$2:$A$1001,customers!$C$2:$C$1001,,,))</f>
        <v>jcapeyhr@bravesites.com</v>
      </c>
      <c r="H641" s="9" t="str">
        <f>_xlfn.XLOOKUP(C641,customers!$A$2:$A$1001,customers!$G$2:$G$1001,"")</f>
        <v>United States</v>
      </c>
      <c r="I641" s="10" t="str">
        <f>INDEX(products!$A$2:$G$49,MATCH(orders!$D641,products!$A$2:$A$49,0),MATCH(orders!I$1,products!$A$1:$G$1,0))</f>
        <v>Lib</v>
      </c>
      <c r="J641" s="10" t="str">
        <f>INDEX(products!$A$2:$G$49,MATCH(orders!$D641,products!$A$2:$A$49,0),MATCH(orders!J$1,products!$A$1:$G$1,0))</f>
        <v>D</v>
      </c>
      <c r="K641" s="11">
        <f>INDEX(products!$A$2:$G$49,MATCH(orders!$D641,products!$A$2:$A$49,0),MATCH(orders!K$1,products!$A$1:$G$1,0))</f>
        <v>0.2</v>
      </c>
      <c r="L641" s="12">
        <f>INDEX(products!$A$2:$G$49,MATCH(orders!$D641,products!$A$2:$A$49,0),MATCH(orders!L$1,products!$A$1:$G$1,0))</f>
        <v>3.8849999999999998</v>
      </c>
      <c r="M641" s="12">
        <f t="shared" si="27"/>
        <v>3.8849999999999998</v>
      </c>
      <c r="N641" s="10" t="str">
        <f t="shared" si="28"/>
        <v>Liberica</v>
      </c>
      <c r="O641" s="10" t="str">
        <f t="shared" si="29"/>
        <v>Dark</v>
      </c>
      <c r="P641" s="10" t="str">
        <f>_xlfn.XLOOKUP(Tableau1[[#This Row],[Customer ID]],customers!A$2:A$1001,customers!I$2:I$1001)</f>
        <v>Yes</v>
      </c>
    </row>
    <row r="642" spans="1:16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9" t="str">
        <f>_xlfn.XLOOKUP(orders!C642,customers!$A$2:$A$1001,customers!$B$2:$B$1001)</f>
        <v>Tuckie Mathonnet</v>
      </c>
      <c r="G642" s="9" t="str">
        <f>IF(_xlfn.XLOOKUP(orders!C642,customers!$A$2:$A$1001,customers!$C$2:$C$1001,,,)=0,"",_xlfn.XLOOKUP(orders!C642,customers!$A$2:$A$1001,customers!$C$2:$C$1001,,,))</f>
        <v>tmathonneti0@google.co.jp</v>
      </c>
      <c r="H642" s="9" t="str">
        <f>_xlfn.XLOOKUP(C642,customers!$A$2:$A$1001,customers!$G$2:$G$1001,"")</f>
        <v>United States</v>
      </c>
      <c r="I642" s="10" t="str">
        <f>INDEX(products!$A$2:$G$49,MATCH(orders!$D642,products!$A$2:$A$49,0),MATCH(orders!I$1,products!$A$1:$G$1,0))</f>
        <v>Rob</v>
      </c>
      <c r="J642" s="10" t="str">
        <f>INDEX(products!$A$2:$G$49,MATCH(orders!$D642,products!$A$2:$A$49,0),MATCH(orders!J$1,products!$A$1:$G$1,0))</f>
        <v>L</v>
      </c>
      <c r="K642" s="11">
        <f>INDEX(products!$A$2:$G$49,MATCH(orders!$D642,products!$A$2:$A$49,0),MATCH(orders!K$1,products!$A$1:$G$1,0))</f>
        <v>2.5</v>
      </c>
      <c r="L642" s="12">
        <f>INDEX(products!$A$2:$G$49,MATCH(orders!$D642,products!$A$2:$A$49,0),MATCH(orders!L$1,products!$A$1:$G$1,0))</f>
        <v>27.484999999999996</v>
      </c>
      <c r="M642" s="12">
        <f t="shared" si="27"/>
        <v>137.42499999999998</v>
      </c>
      <c r="N642" s="10" t="str">
        <f t="shared" si="28"/>
        <v>Robusta</v>
      </c>
      <c r="O642" s="10" t="str">
        <f t="shared" si="29"/>
        <v>Light</v>
      </c>
      <c r="P642" s="10" t="str">
        <f>_xlfn.XLOOKUP(Tableau1[[#This Row],[Customer ID]],customers!A$2:A$1001,customers!I$2:I$1001)</f>
        <v>No</v>
      </c>
    </row>
    <row r="643" spans="1:16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9" t="str">
        <f>_xlfn.XLOOKUP(orders!C643,customers!$A$2:$A$1001,customers!$B$2:$B$1001)</f>
        <v>Yardley Basill</v>
      </c>
      <c r="G643" s="9" t="str">
        <f>IF(_xlfn.XLOOKUP(orders!C643,customers!$A$2:$A$1001,customers!$C$2:$C$1001,,,)=0,"",_xlfn.XLOOKUP(orders!C643,customers!$A$2:$A$1001,customers!$C$2:$C$1001,,,))</f>
        <v>ybasillht@theguardian.com</v>
      </c>
      <c r="H643" s="9" t="str">
        <f>_xlfn.XLOOKUP(C643,customers!$A$2:$A$1001,customers!$G$2:$G$1001,"")</f>
        <v>United States</v>
      </c>
      <c r="I643" s="10" t="str">
        <f>INDEX(products!$A$2:$G$49,MATCH(orders!$D643,products!$A$2:$A$49,0),MATCH(orders!I$1,products!$A$1:$G$1,0))</f>
        <v>Rob</v>
      </c>
      <c r="J643" s="10" t="str">
        <f>INDEX(products!$A$2:$G$49,MATCH(orders!$D643,products!$A$2:$A$49,0),MATCH(orders!J$1,products!$A$1:$G$1,0))</f>
        <v>L</v>
      </c>
      <c r="K643" s="11">
        <f>INDEX(products!$A$2:$G$49,MATCH(orders!$D643,products!$A$2:$A$49,0),MATCH(orders!K$1,products!$A$1:$G$1,0))</f>
        <v>1</v>
      </c>
      <c r="L643" s="12">
        <f>INDEX(products!$A$2:$G$49,MATCH(orders!$D643,products!$A$2:$A$49,0),MATCH(orders!L$1,products!$A$1:$G$1,0))</f>
        <v>11.95</v>
      </c>
      <c r="M643" s="12">
        <f t="shared" ref="M643:M706" si="30">L643*E643</f>
        <v>35.849999999999994</v>
      </c>
      <c r="N643" s="10" t="str">
        <f t="shared" ref="N643:N706" si="31">IF(I643="Rob","Robusta",IF(I643="Exc","Excelsa",IF(I643="Ara","Arabica",IF(I643="Lib","Liberica"))))</f>
        <v>Robusta</v>
      </c>
      <c r="O643" s="10" t="str">
        <f t="shared" ref="O643:O706" si="32">IF(J643="M","Medium",IF(J643="L","Light",IF(J643="D","Dark")))</f>
        <v>Light</v>
      </c>
      <c r="P643" s="10" t="str">
        <f>_xlfn.XLOOKUP(Tableau1[[#This Row],[Customer ID]],customers!A$2:A$1001,customers!I$2:I$1001)</f>
        <v>Yes</v>
      </c>
    </row>
    <row r="644" spans="1:16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9" t="str">
        <f>_xlfn.XLOOKUP(orders!C644,customers!$A$2:$A$1001,customers!$B$2:$B$1001)</f>
        <v>Maggy Baistow</v>
      </c>
      <c r="G644" s="9" t="str">
        <f>IF(_xlfn.XLOOKUP(orders!C644,customers!$A$2:$A$1001,customers!$C$2:$C$1001,,,)=0,"",_xlfn.XLOOKUP(orders!C644,customers!$A$2:$A$1001,customers!$C$2:$C$1001,,,))</f>
        <v>mbaistowhu@i2i.jp</v>
      </c>
      <c r="H644" s="9" t="str">
        <f>_xlfn.XLOOKUP(C644,customers!$A$2:$A$1001,customers!$G$2:$G$1001,"")</f>
        <v>United Kingdom</v>
      </c>
      <c r="I644" s="10" t="str">
        <f>INDEX(products!$A$2:$G$49,MATCH(orders!$D644,products!$A$2:$A$49,0),MATCH(orders!I$1,products!$A$1:$G$1,0))</f>
        <v>Exc</v>
      </c>
      <c r="J644" s="10" t="str">
        <f>INDEX(products!$A$2:$G$49,MATCH(orders!$D644,products!$A$2:$A$49,0),MATCH(orders!J$1,products!$A$1:$G$1,0))</f>
        <v>M</v>
      </c>
      <c r="K644" s="11">
        <f>INDEX(products!$A$2:$G$49,MATCH(orders!$D644,products!$A$2:$A$49,0),MATCH(orders!K$1,products!$A$1:$G$1,0))</f>
        <v>0.2</v>
      </c>
      <c r="L644" s="12">
        <f>INDEX(products!$A$2:$G$49,MATCH(orders!$D644,products!$A$2:$A$49,0),MATCH(orders!L$1,products!$A$1:$G$1,0))</f>
        <v>4.125</v>
      </c>
      <c r="M644" s="12">
        <f t="shared" si="30"/>
        <v>8.25</v>
      </c>
      <c r="N644" s="10" t="str">
        <f t="shared" si="31"/>
        <v>Excelsa</v>
      </c>
      <c r="O644" s="10" t="str">
        <f t="shared" si="32"/>
        <v>Medium</v>
      </c>
      <c r="P644" s="10" t="str">
        <f>_xlfn.XLOOKUP(Tableau1[[#This Row],[Customer ID]],customers!A$2:A$1001,customers!I$2:I$1001)</f>
        <v>Yes</v>
      </c>
    </row>
    <row r="645" spans="1:16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9" t="str">
        <f>_xlfn.XLOOKUP(orders!C645,customers!$A$2:$A$1001,customers!$B$2:$B$1001)</f>
        <v>Courtney Pallant</v>
      </c>
      <c r="G645" s="9" t="str">
        <f>IF(_xlfn.XLOOKUP(orders!C645,customers!$A$2:$A$1001,customers!$C$2:$C$1001,,,)=0,"",_xlfn.XLOOKUP(orders!C645,customers!$A$2:$A$1001,customers!$C$2:$C$1001,,,))</f>
        <v>cpallanthv@typepad.com</v>
      </c>
      <c r="H645" s="9" t="str">
        <f>_xlfn.XLOOKUP(C645,customers!$A$2:$A$1001,customers!$G$2:$G$1001,"")</f>
        <v>United States</v>
      </c>
      <c r="I645" s="10" t="str">
        <f>INDEX(products!$A$2:$G$49,MATCH(orders!$D645,products!$A$2:$A$49,0),MATCH(orders!I$1,products!$A$1:$G$1,0))</f>
        <v>Exc</v>
      </c>
      <c r="J645" s="10" t="str">
        <f>INDEX(products!$A$2:$G$49,MATCH(orders!$D645,products!$A$2:$A$49,0),MATCH(orders!J$1,products!$A$1:$G$1,0))</f>
        <v>L</v>
      </c>
      <c r="K645" s="11">
        <f>INDEX(products!$A$2:$G$49,MATCH(orders!$D645,products!$A$2:$A$49,0),MATCH(orders!K$1,products!$A$1:$G$1,0))</f>
        <v>2.5</v>
      </c>
      <c r="L645" s="12">
        <f>INDEX(products!$A$2:$G$49,MATCH(orders!$D645,products!$A$2:$A$49,0),MATCH(orders!L$1,products!$A$1:$G$1,0))</f>
        <v>34.154999999999994</v>
      </c>
      <c r="M645" s="12">
        <f t="shared" si="30"/>
        <v>102.46499999999997</v>
      </c>
      <c r="N645" s="10" t="str">
        <f t="shared" si="31"/>
        <v>Excelsa</v>
      </c>
      <c r="O645" s="10" t="str">
        <f t="shared" si="32"/>
        <v>Light</v>
      </c>
      <c r="P645" s="10" t="str">
        <f>_xlfn.XLOOKUP(Tableau1[[#This Row],[Customer ID]],customers!A$2:A$1001,customers!I$2:I$1001)</f>
        <v>Yes</v>
      </c>
    </row>
    <row r="646" spans="1:16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9" t="str">
        <f>_xlfn.XLOOKUP(orders!C646,customers!$A$2:$A$1001,customers!$B$2:$B$1001)</f>
        <v>Marne Mingey</v>
      </c>
      <c r="G646" s="9" t="str">
        <f>IF(_xlfn.XLOOKUP(orders!C646,customers!$A$2:$A$1001,customers!$C$2:$C$1001,,,)=0,"",_xlfn.XLOOKUP(orders!C646,customers!$A$2:$A$1001,customers!$C$2:$C$1001,,,))</f>
        <v/>
      </c>
      <c r="H646" s="9" t="str">
        <f>_xlfn.XLOOKUP(C646,customers!$A$2:$A$1001,customers!$G$2:$G$1001,"")</f>
        <v>United States</v>
      </c>
      <c r="I646" s="10" t="str">
        <f>INDEX(products!$A$2:$G$49,MATCH(orders!$D646,products!$A$2:$A$49,0),MATCH(orders!I$1,products!$A$1:$G$1,0))</f>
        <v>Rob</v>
      </c>
      <c r="J646" s="10" t="str">
        <f>INDEX(products!$A$2:$G$49,MATCH(orders!$D646,products!$A$2:$A$49,0),MATCH(orders!J$1,products!$A$1:$G$1,0))</f>
        <v>D</v>
      </c>
      <c r="K646" s="11">
        <f>INDEX(products!$A$2:$G$49,MATCH(orders!$D646,products!$A$2:$A$49,0),MATCH(orders!K$1,products!$A$1:$G$1,0))</f>
        <v>2.5</v>
      </c>
      <c r="L646" s="12">
        <f>INDEX(products!$A$2:$G$49,MATCH(orders!$D646,products!$A$2:$A$49,0),MATCH(orders!L$1,products!$A$1:$G$1,0))</f>
        <v>20.584999999999997</v>
      </c>
      <c r="M646" s="12">
        <f t="shared" si="30"/>
        <v>41.169999999999995</v>
      </c>
      <c r="N646" s="10" t="str">
        <f t="shared" si="31"/>
        <v>Robusta</v>
      </c>
      <c r="O646" s="10" t="str">
        <f t="shared" si="32"/>
        <v>Dark</v>
      </c>
      <c r="P646" s="10" t="str">
        <f>_xlfn.XLOOKUP(Tableau1[[#This Row],[Customer ID]],customers!A$2:A$1001,customers!I$2:I$1001)</f>
        <v>No</v>
      </c>
    </row>
    <row r="647" spans="1:16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9" t="str">
        <f>_xlfn.XLOOKUP(orders!C647,customers!$A$2:$A$1001,customers!$B$2:$B$1001)</f>
        <v>Denny O' Ronan</v>
      </c>
      <c r="G647" s="9" t="str">
        <f>IF(_xlfn.XLOOKUP(orders!C647,customers!$A$2:$A$1001,customers!$C$2:$C$1001,,,)=0,"",_xlfn.XLOOKUP(orders!C647,customers!$A$2:$A$1001,customers!$C$2:$C$1001,,,))</f>
        <v>dohx@redcross.org</v>
      </c>
      <c r="H647" s="9" t="str">
        <f>_xlfn.XLOOKUP(C647,customers!$A$2:$A$1001,customers!$G$2:$G$1001,"")</f>
        <v>United States</v>
      </c>
      <c r="I647" s="10" t="str">
        <f>INDEX(products!$A$2:$G$49,MATCH(orders!$D647,products!$A$2:$A$49,0),MATCH(orders!I$1,products!$A$1:$G$1,0))</f>
        <v>Ara</v>
      </c>
      <c r="J647" s="10" t="str">
        <f>INDEX(products!$A$2:$G$49,MATCH(orders!$D647,products!$A$2:$A$49,0),MATCH(orders!J$1,products!$A$1:$G$1,0))</f>
        <v>D</v>
      </c>
      <c r="K647" s="11">
        <f>INDEX(products!$A$2:$G$49,MATCH(orders!$D647,products!$A$2:$A$49,0),MATCH(orders!K$1,products!$A$1:$G$1,0))</f>
        <v>2.5</v>
      </c>
      <c r="L647" s="12">
        <f>INDEX(products!$A$2:$G$49,MATCH(orders!$D647,products!$A$2:$A$49,0),MATCH(orders!L$1,products!$A$1:$G$1,0))</f>
        <v>22.884999999999998</v>
      </c>
      <c r="M647" s="12">
        <f t="shared" si="30"/>
        <v>68.655000000000001</v>
      </c>
      <c r="N647" s="10" t="str">
        <f t="shared" si="31"/>
        <v>Arabica</v>
      </c>
      <c r="O647" s="10" t="str">
        <f t="shared" si="32"/>
        <v>Dark</v>
      </c>
      <c r="P647" s="10" t="str">
        <f>_xlfn.XLOOKUP(Tableau1[[#This Row],[Customer ID]],customers!A$2:A$1001,customers!I$2:I$1001)</f>
        <v>Yes</v>
      </c>
    </row>
    <row r="648" spans="1:16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9" t="str">
        <f>_xlfn.XLOOKUP(orders!C648,customers!$A$2:$A$1001,customers!$B$2:$B$1001)</f>
        <v>Dottie Rallin</v>
      </c>
      <c r="G648" s="9" t="str">
        <f>IF(_xlfn.XLOOKUP(orders!C648,customers!$A$2:$A$1001,customers!$C$2:$C$1001,,,)=0,"",_xlfn.XLOOKUP(orders!C648,customers!$A$2:$A$1001,customers!$C$2:$C$1001,,,))</f>
        <v>drallinhy@howstuffworks.com</v>
      </c>
      <c r="H648" s="9" t="str">
        <f>_xlfn.XLOOKUP(C648,customers!$A$2:$A$1001,customers!$G$2:$G$1001,"")</f>
        <v>United States</v>
      </c>
      <c r="I648" s="10" t="str">
        <f>INDEX(products!$A$2:$G$49,MATCH(orders!$D648,products!$A$2:$A$49,0),MATCH(orders!I$1,products!$A$1:$G$1,0))</f>
        <v>Ara</v>
      </c>
      <c r="J648" s="10" t="str">
        <f>INDEX(products!$A$2:$G$49,MATCH(orders!$D648,products!$A$2:$A$49,0),MATCH(orders!J$1,products!$A$1:$G$1,0))</f>
        <v>D</v>
      </c>
      <c r="K648" s="11">
        <f>INDEX(products!$A$2:$G$49,MATCH(orders!$D648,products!$A$2:$A$49,0),MATCH(orders!K$1,products!$A$1:$G$1,0))</f>
        <v>1</v>
      </c>
      <c r="L648" s="12">
        <f>INDEX(products!$A$2:$G$49,MATCH(orders!$D648,products!$A$2:$A$49,0),MATCH(orders!L$1,products!$A$1:$G$1,0))</f>
        <v>9.9499999999999993</v>
      </c>
      <c r="M648" s="12">
        <f t="shared" si="30"/>
        <v>9.9499999999999993</v>
      </c>
      <c r="N648" s="10" t="str">
        <f t="shared" si="31"/>
        <v>Arabica</v>
      </c>
      <c r="O648" s="10" t="str">
        <f t="shared" si="32"/>
        <v>Dark</v>
      </c>
      <c r="P648" s="10" t="str">
        <f>_xlfn.XLOOKUP(Tableau1[[#This Row],[Customer ID]],customers!A$2:A$1001,customers!I$2:I$1001)</f>
        <v>Yes</v>
      </c>
    </row>
    <row r="649" spans="1:16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9" t="str">
        <f>_xlfn.XLOOKUP(orders!C649,customers!$A$2:$A$1001,customers!$B$2:$B$1001)</f>
        <v>Ardith Chill</v>
      </c>
      <c r="G649" s="9" t="str">
        <f>IF(_xlfn.XLOOKUP(orders!C649,customers!$A$2:$A$1001,customers!$C$2:$C$1001,,,)=0,"",_xlfn.XLOOKUP(orders!C649,customers!$A$2:$A$1001,customers!$C$2:$C$1001,,,))</f>
        <v>achillhz@epa.gov</v>
      </c>
      <c r="H649" s="9" t="str">
        <f>_xlfn.XLOOKUP(C649,customers!$A$2:$A$1001,customers!$G$2:$G$1001,"")</f>
        <v>United Kingdom</v>
      </c>
      <c r="I649" s="10" t="str">
        <f>INDEX(products!$A$2:$G$49,MATCH(orders!$D649,products!$A$2:$A$49,0),MATCH(orders!I$1,products!$A$1:$G$1,0))</f>
        <v>Lib</v>
      </c>
      <c r="J649" s="10" t="str">
        <f>INDEX(products!$A$2:$G$49,MATCH(orders!$D649,products!$A$2:$A$49,0),MATCH(orders!J$1,products!$A$1:$G$1,0))</f>
        <v>L</v>
      </c>
      <c r="K649" s="11">
        <f>INDEX(products!$A$2:$G$49,MATCH(orders!$D649,products!$A$2:$A$49,0),MATCH(orders!K$1,products!$A$1:$G$1,0))</f>
        <v>0.5</v>
      </c>
      <c r="L649" s="12">
        <f>INDEX(products!$A$2:$G$49,MATCH(orders!$D649,products!$A$2:$A$49,0),MATCH(orders!L$1,products!$A$1:$G$1,0))</f>
        <v>9.51</v>
      </c>
      <c r="M649" s="12">
        <f t="shared" si="30"/>
        <v>28.53</v>
      </c>
      <c r="N649" s="10" t="str">
        <f t="shared" si="31"/>
        <v>Liberica</v>
      </c>
      <c r="O649" s="10" t="str">
        <f t="shared" si="32"/>
        <v>Light</v>
      </c>
      <c r="P649" s="10" t="str">
        <f>_xlfn.XLOOKUP(Tableau1[[#This Row],[Customer ID]],customers!A$2:A$1001,customers!I$2:I$1001)</f>
        <v>Yes</v>
      </c>
    </row>
    <row r="650" spans="1:16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9" t="str">
        <f>_xlfn.XLOOKUP(orders!C650,customers!$A$2:$A$1001,customers!$B$2:$B$1001)</f>
        <v>Tuckie Mathonnet</v>
      </c>
      <c r="G650" s="9" t="str">
        <f>IF(_xlfn.XLOOKUP(orders!C650,customers!$A$2:$A$1001,customers!$C$2:$C$1001,,,)=0,"",_xlfn.XLOOKUP(orders!C650,customers!$A$2:$A$1001,customers!$C$2:$C$1001,,,))</f>
        <v>tmathonneti0@google.co.jp</v>
      </c>
      <c r="H650" s="9" t="str">
        <f>_xlfn.XLOOKUP(C650,customers!$A$2:$A$1001,customers!$G$2:$G$1001,"")</f>
        <v>United States</v>
      </c>
      <c r="I650" s="10" t="str">
        <f>INDEX(products!$A$2:$G$49,MATCH(orders!$D650,products!$A$2:$A$49,0),MATCH(orders!I$1,products!$A$1:$G$1,0))</f>
        <v>Rob</v>
      </c>
      <c r="J650" s="10" t="str">
        <f>INDEX(products!$A$2:$G$49,MATCH(orders!$D650,products!$A$2:$A$49,0),MATCH(orders!J$1,products!$A$1:$G$1,0))</f>
        <v>D</v>
      </c>
      <c r="K650" s="11">
        <f>INDEX(products!$A$2:$G$49,MATCH(orders!$D650,products!$A$2:$A$49,0),MATCH(orders!K$1,products!$A$1:$G$1,0))</f>
        <v>0.2</v>
      </c>
      <c r="L650" s="12">
        <f>INDEX(products!$A$2:$G$49,MATCH(orders!$D650,products!$A$2:$A$49,0),MATCH(orders!L$1,products!$A$1:$G$1,0))</f>
        <v>2.6849999999999996</v>
      </c>
      <c r="M650" s="12">
        <f t="shared" si="30"/>
        <v>16.11</v>
      </c>
      <c r="N650" s="10" t="str">
        <f t="shared" si="31"/>
        <v>Robusta</v>
      </c>
      <c r="O650" s="10" t="str">
        <f t="shared" si="32"/>
        <v>Dark</v>
      </c>
      <c r="P650" s="10" t="str">
        <f>_xlfn.XLOOKUP(Tableau1[[#This Row],[Customer ID]],customers!A$2:A$1001,customers!I$2:I$1001)</f>
        <v>No</v>
      </c>
    </row>
    <row r="651" spans="1:16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9" t="str">
        <f>_xlfn.XLOOKUP(orders!C651,customers!$A$2:$A$1001,customers!$B$2:$B$1001)</f>
        <v>Charmane Denys</v>
      </c>
      <c r="G651" s="9" t="str">
        <f>IF(_xlfn.XLOOKUP(orders!C651,customers!$A$2:$A$1001,customers!$C$2:$C$1001,,,)=0,"",_xlfn.XLOOKUP(orders!C651,customers!$A$2:$A$1001,customers!$C$2:$C$1001,,,))</f>
        <v>cdenysi1@is.gd</v>
      </c>
      <c r="H651" s="9" t="str">
        <f>_xlfn.XLOOKUP(C651,customers!$A$2:$A$1001,customers!$G$2:$G$1001,"")</f>
        <v>United Kingdom</v>
      </c>
      <c r="I651" s="10" t="str">
        <f>INDEX(products!$A$2:$G$49,MATCH(orders!$D651,products!$A$2:$A$49,0),MATCH(orders!I$1,products!$A$1:$G$1,0))</f>
        <v>Lib</v>
      </c>
      <c r="J651" s="10" t="str">
        <f>INDEX(products!$A$2:$G$49,MATCH(orders!$D651,products!$A$2:$A$49,0),MATCH(orders!J$1,products!$A$1:$G$1,0))</f>
        <v>L</v>
      </c>
      <c r="K651" s="11">
        <f>INDEX(products!$A$2:$G$49,MATCH(orders!$D651,products!$A$2:$A$49,0),MATCH(orders!K$1,products!$A$1:$G$1,0))</f>
        <v>1</v>
      </c>
      <c r="L651" s="12">
        <f>INDEX(products!$A$2:$G$49,MATCH(orders!$D651,products!$A$2:$A$49,0),MATCH(orders!L$1,products!$A$1:$G$1,0))</f>
        <v>15.85</v>
      </c>
      <c r="M651" s="12">
        <f t="shared" si="30"/>
        <v>95.1</v>
      </c>
      <c r="N651" s="10" t="str">
        <f t="shared" si="31"/>
        <v>Liberica</v>
      </c>
      <c r="O651" s="10" t="str">
        <f t="shared" si="32"/>
        <v>Light</v>
      </c>
      <c r="P651" s="10" t="str">
        <f>_xlfn.XLOOKUP(Tableau1[[#This Row],[Customer ID]],customers!A$2:A$1001,customers!I$2:I$1001)</f>
        <v>No</v>
      </c>
    </row>
    <row r="652" spans="1:16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9" t="str">
        <f>_xlfn.XLOOKUP(orders!C652,customers!$A$2:$A$1001,customers!$B$2:$B$1001)</f>
        <v>Cecily Stebbings</v>
      </c>
      <c r="G652" s="9" t="str">
        <f>IF(_xlfn.XLOOKUP(orders!C652,customers!$A$2:$A$1001,customers!$C$2:$C$1001,,,)=0,"",_xlfn.XLOOKUP(orders!C652,customers!$A$2:$A$1001,customers!$C$2:$C$1001,,,))</f>
        <v>cstebbingsi2@drupal.org</v>
      </c>
      <c r="H652" s="9" t="str">
        <f>_xlfn.XLOOKUP(C652,customers!$A$2:$A$1001,customers!$G$2:$G$1001,"")</f>
        <v>United States</v>
      </c>
      <c r="I652" s="10" t="str">
        <f>INDEX(products!$A$2:$G$49,MATCH(orders!$D652,products!$A$2:$A$49,0),MATCH(orders!I$1,products!$A$1:$G$1,0))</f>
        <v>Rob</v>
      </c>
      <c r="J652" s="10" t="str">
        <f>INDEX(products!$A$2:$G$49,MATCH(orders!$D652,products!$A$2:$A$49,0),MATCH(orders!J$1,products!$A$1:$G$1,0))</f>
        <v>D</v>
      </c>
      <c r="K652" s="11">
        <f>INDEX(products!$A$2:$G$49,MATCH(orders!$D652,products!$A$2:$A$49,0),MATCH(orders!K$1,products!$A$1:$G$1,0))</f>
        <v>0.5</v>
      </c>
      <c r="L652" s="12">
        <f>INDEX(products!$A$2:$G$49,MATCH(orders!$D652,products!$A$2:$A$49,0),MATCH(orders!L$1,products!$A$1:$G$1,0))</f>
        <v>5.3699999999999992</v>
      </c>
      <c r="M652" s="12">
        <f t="shared" si="30"/>
        <v>5.3699999999999992</v>
      </c>
      <c r="N652" s="10" t="str">
        <f t="shared" si="31"/>
        <v>Robusta</v>
      </c>
      <c r="O652" s="10" t="str">
        <f t="shared" si="32"/>
        <v>Dark</v>
      </c>
      <c r="P652" s="10" t="str">
        <f>_xlfn.XLOOKUP(Tableau1[[#This Row],[Customer ID]],customers!A$2:A$1001,customers!I$2:I$1001)</f>
        <v>Yes</v>
      </c>
    </row>
    <row r="653" spans="1:16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9" t="str">
        <f>_xlfn.XLOOKUP(orders!C653,customers!$A$2:$A$1001,customers!$B$2:$B$1001)</f>
        <v>Giana Tonnesen</v>
      </c>
      <c r="G653" s="9" t="str">
        <f>IF(_xlfn.XLOOKUP(orders!C653,customers!$A$2:$A$1001,customers!$C$2:$C$1001,,,)=0,"",_xlfn.XLOOKUP(orders!C653,customers!$A$2:$A$1001,customers!$C$2:$C$1001,,,))</f>
        <v/>
      </c>
      <c r="H653" s="9" t="str">
        <f>_xlfn.XLOOKUP(C653,customers!$A$2:$A$1001,customers!$G$2:$G$1001,"")</f>
        <v>United States</v>
      </c>
      <c r="I653" s="10" t="str">
        <f>INDEX(products!$A$2:$G$49,MATCH(orders!$D653,products!$A$2:$A$49,0),MATCH(orders!I$1,products!$A$1:$G$1,0))</f>
        <v>Rob</v>
      </c>
      <c r="J653" s="10" t="str">
        <f>INDEX(products!$A$2:$G$49,MATCH(orders!$D653,products!$A$2:$A$49,0),MATCH(orders!J$1,products!$A$1:$G$1,0))</f>
        <v>L</v>
      </c>
      <c r="K653" s="11">
        <f>INDEX(products!$A$2:$G$49,MATCH(orders!$D653,products!$A$2:$A$49,0),MATCH(orders!K$1,products!$A$1:$G$1,0))</f>
        <v>1</v>
      </c>
      <c r="L653" s="12">
        <f>INDEX(products!$A$2:$G$49,MATCH(orders!$D653,products!$A$2:$A$49,0),MATCH(orders!L$1,products!$A$1:$G$1,0))</f>
        <v>11.95</v>
      </c>
      <c r="M653" s="12">
        <f t="shared" si="30"/>
        <v>47.8</v>
      </c>
      <c r="N653" s="10" t="str">
        <f t="shared" si="31"/>
        <v>Robusta</v>
      </c>
      <c r="O653" s="10" t="str">
        <f t="shared" si="32"/>
        <v>Light</v>
      </c>
      <c r="P653" s="10" t="str">
        <f>_xlfn.XLOOKUP(Tableau1[[#This Row],[Customer ID]],customers!A$2:A$1001,customers!I$2:I$1001)</f>
        <v>No</v>
      </c>
    </row>
    <row r="654" spans="1:16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9" t="str">
        <f>_xlfn.XLOOKUP(orders!C654,customers!$A$2:$A$1001,customers!$B$2:$B$1001)</f>
        <v>Rhetta Zywicki</v>
      </c>
      <c r="G654" s="9" t="str">
        <f>IF(_xlfn.XLOOKUP(orders!C654,customers!$A$2:$A$1001,customers!$C$2:$C$1001,,,)=0,"",_xlfn.XLOOKUP(orders!C654,customers!$A$2:$A$1001,customers!$C$2:$C$1001,,,))</f>
        <v>rzywickii4@ifeng.com</v>
      </c>
      <c r="H654" s="9" t="str">
        <f>_xlfn.XLOOKUP(C654,customers!$A$2:$A$1001,customers!$G$2:$G$1001,"")</f>
        <v>Ireland</v>
      </c>
      <c r="I654" s="10" t="str">
        <f>INDEX(products!$A$2:$G$49,MATCH(orders!$D654,products!$A$2:$A$49,0),MATCH(orders!I$1,products!$A$1:$G$1,0))</f>
        <v>Lib</v>
      </c>
      <c r="J654" s="10" t="str">
        <f>INDEX(products!$A$2:$G$49,MATCH(orders!$D654,products!$A$2:$A$49,0),MATCH(orders!J$1,products!$A$1:$G$1,0))</f>
        <v>L</v>
      </c>
      <c r="K654" s="11">
        <f>INDEX(products!$A$2:$G$49,MATCH(orders!$D654,products!$A$2:$A$49,0),MATCH(orders!K$1,products!$A$1:$G$1,0))</f>
        <v>1</v>
      </c>
      <c r="L654" s="12">
        <f>INDEX(products!$A$2:$G$49,MATCH(orders!$D654,products!$A$2:$A$49,0),MATCH(orders!L$1,products!$A$1:$G$1,0))</f>
        <v>15.85</v>
      </c>
      <c r="M654" s="12">
        <f t="shared" si="30"/>
        <v>63.4</v>
      </c>
      <c r="N654" s="10" t="str">
        <f t="shared" si="31"/>
        <v>Liberica</v>
      </c>
      <c r="O654" s="10" t="str">
        <f t="shared" si="32"/>
        <v>Light</v>
      </c>
      <c r="P654" s="10" t="str">
        <f>_xlfn.XLOOKUP(Tableau1[[#This Row],[Customer ID]],customers!A$2:A$1001,customers!I$2:I$1001)</f>
        <v>No</v>
      </c>
    </row>
    <row r="655" spans="1:16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9" t="str">
        <f>_xlfn.XLOOKUP(orders!C655,customers!$A$2:$A$1001,customers!$B$2:$B$1001)</f>
        <v>Almeria Burgett</v>
      </c>
      <c r="G655" s="9" t="str">
        <f>IF(_xlfn.XLOOKUP(orders!C655,customers!$A$2:$A$1001,customers!$C$2:$C$1001,,,)=0,"",_xlfn.XLOOKUP(orders!C655,customers!$A$2:$A$1001,customers!$C$2:$C$1001,,,))</f>
        <v>aburgetti5@moonfruit.com</v>
      </c>
      <c r="H655" s="9" t="str">
        <f>_xlfn.XLOOKUP(C655,customers!$A$2:$A$1001,customers!$G$2:$G$1001,"")</f>
        <v>United States</v>
      </c>
      <c r="I655" s="10" t="str">
        <f>INDEX(products!$A$2:$G$49,MATCH(orders!$D655,products!$A$2:$A$49,0),MATCH(orders!I$1,products!$A$1:$G$1,0))</f>
        <v>Ara</v>
      </c>
      <c r="J655" s="10" t="str">
        <f>INDEX(products!$A$2:$G$49,MATCH(orders!$D655,products!$A$2:$A$49,0),MATCH(orders!J$1,products!$A$1:$G$1,0))</f>
        <v>M</v>
      </c>
      <c r="K655" s="11">
        <f>INDEX(products!$A$2:$G$49,MATCH(orders!$D655,products!$A$2:$A$49,0),MATCH(orders!K$1,products!$A$1:$G$1,0))</f>
        <v>2.5</v>
      </c>
      <c r="L655" s="12">
        <f>INDEX(products!$A$2:$G$49,MATCH(orders!$D655,products!$A$2:$A$49,0),MATCH(orders!L$1,products!$A$1:$G$1,0))</f>
        <v>25.874999999999996</v>
      </c>
      <c r="M655" s="12">
        <f t="shared" si="30"/>
        <v>103.49999999999999</v>
      </c>
      <c r="N655" s="10" t="str">
        <f t="shared" si="31"/>
        <v>Arabica</v>
      </c>
      <c r="O655" s="10" t="str">
        <f t="shared" si="32"/>
        <v>Medium</v>
      </c>
      <c r="P655" s="10" t="str">
        <f>_xlfn.XLOOKUP(Tableau1[[#This Row],[Customer ID]],customers!A$2:A$1001,customers!I$2:I$1001)</f>
        <v>No</v>
      </c>
    </row>
    <row r="656" spans="1:16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9" t="str">
        <f>_xlfn.XLOOKUP(orders!C656,customers!$A$2:$A$1001,customers!$B$2:$B$1001)</f>
        <v>Marvin Malloy</v>
      </c>
      <c r="G656" s="9" t="str">
        <f>IF(_xlfn.XLOOKUP(orders!C656,customers!$A$2:$A$1001,customers!$C$2:$C$1001,,,)=0,"",_xlfn.XLOOKUP(orders!C656,customers!$A$2:$A$1001,customers!$C$2:$C$1001,,,))</f>
        <v>mmalloyi6@seattletimes.com</v>
      </c>
      <c r="H656" s="9" t="str">
        <f>_xlfn.XLOOKUP(C656,customers!$A$2:$A$1001,customers!$G$2:$G$1001,"")</f>
        <v>United States</v>
      </c>
      <c r="I656" s="10" t="str">
        <f>INDEX(products!$A$2:$G$49,MATCH(orders!$D656,products!$A$2:$A$49,0),MATCH(orders!I$1,products!$A$1:$G$1,0))</f>
        <v>Ara</v>
      </c>
      <c r="J656" s="10" t="str">
        <f>INDEX(products!$A$2:$G$49,MATCH(orders!$D656,products!$A$2:$A$49,0),MATCH(orders!J$1,products!$A$1:$G$1,0))</f>
        <v>D</v>
      </c>
      <c r="K656" s="11">
        <f>INDEX(products!$A$2:$G$49,MATCH(orders!$D656,products!$A$2:$A$49,0),MATCH(orders!K$1,products!$A$1:$G$1,0))</f>
        <v>2.5</v>
      </c>
      <c r="L656" s="12">
        <f>INDEX(products!$A$2:$G$49,MATCH(orders!$D656,products!$A$2:$A$49,0),MATCH(orders!L$1,products!$A$1:$G$1,0))</f>
        <v>22.884999999999998</v>
      </c>
      <c r="M656" s="12">
        <f t="shared" si="30"/>
        <v>68.655000000000001</v>
      </c>
      <c r="N656" s="10" t="str">
        <f t="shared" si="31"/>
        <v>Arabica</v>
      </c>
      <c r="O656" s="10" t="str">
        <f t="shared" si="32"/>
        <v>Dark</v>
      </c>
      <c r="P656" s="10" t="str">
        <f>_xlfn.XLOOKUP(Tableau1[[#This Row],[Customer ID]],customers!A$2:A$1001,customers!I$2:I$1001)</f>
        <v>No</v>
      </c>
    </row>
    <row r="657" spans="1:16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9" t="str">
        <f>_xlfn.XLOOKUP(orders!C657,customers!$A$2:$A$1001,customers!$B$2:$B$1001)</f>
        <v>Maxim McParland</v>
      </c>
      <c r="G657" s="9" t="str">
        <f>IF(_xlfn.XLOOKUP(orders!C657,customers!$A$2:$A$1001,customers!$C$2:$C$1001,,,)=0,"",_xlfn.XLOOKUP(orders!C657,customers!$A$2:$A$1001,customers!$C$2:$C$1001,,,))</f>
        <v>mmcparlandi7@w3.org</v>
      </c>
      <c r="H657" s="9" t="str">
        <f>_xlfn.XLOOKUP(C657,customers!$A$2:$A$1001,customers!$G$2:$G$1001,"")</f>
        <v>United States</v>
      </c>
      <c r="I657" s="10" t="str">
        <f>INDEX(products!$A$2:$G$49,MATCH(orders!$D657,products!$A$2:$A$49,0),MATCH(orders!I$1,products!$A$1:$G$1,0))</f>
        <v>Rob</v>
      </c>
      <c r="J657" s="10" t="str">
        <f>INDEX(products!$A$2:$G$49,MATCH(orders!$D657,products!$A$2:$A$49,0),MATCH(orders!J$1,products!$A$1:$G$1,0))</f>
        <v>M</v>
      </c>
      <c r="K657" s="11">
        <f>INDEX(products!$A$2:$G$49,MATCH(orders!$D657,products!$A$2:$A$49,0),MATCH(orders!K$1,products!$A$1:$G$1,0))</f>
        <v>2.5</v>
      </c>
      <c r="L657" s="12">
        <f>INDEX(products!$A$2:$G$49,MATCH(orders!$D657,products!$A$2:$A$49,0),MATCH(orders!L$1,products!$A$1:$G$1,0))</f>
        <v>22.884999999999998</v>
      </c>
      <c r="M657" s="12">
        <f t="shared" si="30"/>
        <v>45.769999999999996</v>
      </c>
      <c r="N657" s="10" t="str">
        <f t="shared" si="31"/>
        <v>Robusta</v>
      </c>
      <c r="O657" s="10" t="str">
        <f t="shared" si="32"/>
        <v>Medium</v>
      </c>
      <c r="P657" s="10" t="str">
        <f>_xlfn.XLOOKUP(Tableau1[[#This Row],[Customer ID]],customers!A$2:A$1001,customers!I$2:I$1001)</f>
        <v>Yes</v>
      </c>
    </row>
    <row r="658" spans="1:16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9" t="str">
        <f>_xlfn.XLOOKUP(orders!C658,customers!$A$2:$A$1001,customers!$B$2:$B$1001)</f>
        <v>Sylas Jennaroy</v>
      </c>
      <c r="G658" s="9" t="str">
        <f>IF(_xlfn.XLOOKUP(orders!C658,customers!$A$2:$A$1001,customers!$C$2:$C$1001,,,)=0,"",_xlfn.XLOOKUP(orders!C658,customers!$A$2:$A$1001,customers!$C$2:$C$1001,,,))</f>
        <v>sjennaroyi8@purevolume.com</v>
      </c>
      <c r="H658" s="9" t="str">
        <f>_xlfn.XLOOKUP(C658,customers!$A$2:$A$1001,customers!$G$2:$G$1001,"")</f>
        <v>United States</v>
      </c>
      <c r="I658" s="10" t="str">
        <f>INDEX(products!$A$2:$G$49,MATCH(orders!$D658,products!$A$2:$A$49,0),MATCH(orders!I$1,products!$A$1:$G$1,0))</f>
        <v>Lib</v>
      </c>
      <c r="J658" s="10" t="str">
        <f>INDEX(products!$A$2:$G$49,MATCH(orders!$D658,products!$A$2:$A$49,0),MATCH(orders!J$1,products!$A$1:$G$1,0))</f>
        <v>D</v>
      </c>
      <c r="K658" s="11">
        <f>INDEX(products!$A$2:$G$49,MATCH(orders!$D658,products!$A$2:$A$49,0),MATCH(orders!K$1,products!$A$1:$G$1,0))</f>
        <v>1</v>
      </c>
      <c r="L658" s="12">
        <f>INDEX(products!$A$2:$G$49,MATCH(orders!$D658,products!$A$2:$A$49,0),MATCH(orders!L$1,products!$A$1:$G$1,0))</f>
        <v>12.95</v>
      </c>
      <c r="M658" s="12">
        <f t="shared" si="30"/>
        <v>51.8</v>
      </c>
      <c r="N658" s="10" t="str">
        <f t="shared" si="31"/>
        <v>Liberica</v>
      </c>
      <c r="O658" s="10" t="str">
        <f t="shared" si="32"/>
        <v>Dark</v>
      </c>
      <c r="P658" s="10" t="str">
        <f>_xlfn.XLOOKUP(Tableau1[[#This Row],[Customer ID]],customers!A$2:A$1001,customers!I$2:I$1001)</f>
        <v>No</v>
      </c>
    </row>
    <row r="659" spans="1:16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9" t="str">
        <f>_xlfn.XLOOKUP(orders!C659,customers!$A$2:$A$1001,customers!$B$2:$B$1001)</f>
        <v>Wren Place</v>
      </c>
      <c r="G659" s="9" t="str">
        <f>IF(_xlfn.XLOOKUP(orders!C659,customers!$A$2:$A$1001,customers!$C$2:$C$1001,,,)=0,"",_xlfn.XLOOKUP(orders!C659,customers!$A$2:$A$1001,customers!$C$2:$C$1001,,,))</f>
        <v>wplacei9@wsj.com</v>
      </c>
      <c r="H659" s="9" t="str">
        <f>_xlfn.XLOOKUP(C659,customers!$A$2:$A$1001,customers!$G$2:$G$1001,"")</f>
        <v>United States</v>
      </c>
      <c r="I659" s="10" t="str">
        <f>INDEX(products!$A$2:$G$49,MATCH(orders!$D659,products!$A$2:$A$49,0),MATCH(orders!I$1,products!$A$1:$G$1,0))</f>
        <v>Ara</v>
      </c>
      <c r="J659" s="10" t="str">
        <f>INDEX(products!$A$2:$G$49,MATCH(orders!$D659,products!$A$2:$A$49,0),MATCH(orders!J$1,products!$A$1:$G$1,0))</f>
        <v>M</v>
      </c>
      <c r="K659" s="11">
        <f>INDEX(products!$A$2:$G$49,MATCH(orders!$D659,products!$A$2:$A$49,0),MATCH(orders!K$1,products!$A$1:$G$1,0))</f>
        <v>0.5</v>
      </c>
      <c r="L659" s="12">
        <f>INDEX(products!$A$2:$G$49,MATCH(orders!$D659,products!$A$2:$A$49,0),MATCH(orders!L$1,products!$A$1:$G$1,0))</f>
        <v>6.75</v>
      </c>
      <c r="M659" s="12">
        <f t="shared" si="30"/>
        <v>13.5</v>
      </c>
      <c r="N659" s="10" t="str">
        <f t="shared" si="31"/>
        <v>Arabica</v>
      </c>
      <c r="O659" s="10" t="str">
        <f t="shared" si="32"/>
        <v>Medium</v>
      </c>
      <c r="P659" s="10" t="str">
        <f>_xlfn.XLOOKUP(Tableau1[[#This Row],[Customer ID]],customers!A$2:A$1001,customers!I$2:I$1001)</f>
        <v>Yes</v>
      </c>
    </row>
    <row r="660" spans="1:16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9" t="str">
        <f>_xlfn.XLOOKUP(orders!C660,customers!$A$2:$A$1001,customers!$B$2:$B$1001)</f>
        <v>Janella Millett</v>
      </c>
      <c r="G660" s="9" t="str">
        <f>IF(_xlfn.XLOOKUP(orders!C660,customers!$A$2:$A$1001,customers!$C$2:$C$1001,,,)=0,"",_xlfn.XLOOKUP(orders!C660,customers!$A$2:$A$1001,customers!$C$2:$C$1001,,,))</f>
        <v>jmillettik@addtoany.com</v>
      </c>
      <c r="H660" s="9" t="str">
        <f>_xlfn.XLOOKUP(C660,customers!$A$2:$A$1001,customers!$G$2:$G$1001,"")</f>
        <v>United States</v>
      </c>
      <c r="I660" s="10" t="str">
        <f>INDEX(products!$A$2:$G$49,MATCH(orders!$D660,products!$A$2:$A$49,0),MATCH(orders!I$1,products!$A$1:$G$1,0))</f>
        <v>Exc</v>
      </c>
      <c r="J660" s="10" t="str">
        <f>INDEX(products!$A$2:$G$49,MATCH(orders!$D660,products!$A$2:$A$49,0),MATCH(orders!J$1,products!$A$1:$G$1,0))</f>
        <v>M</v>
      </c>
      <c r="K660" s="11">
        <f>INDEX(products!$A$2:$G$49,MATCH(orders!$D660,products!$A$2:$A$49,0),MATCH(orders!K$1,products!$A$1:$G$1,0))</f>
        <v>0.5</v>
      </c>
      <c r="L660" s="12">
        <f>INDEX(products!$A$2:$G$49,MATCH(orders!$D660,products!$A$2:$A$49,0),MATCH(orders!L$1,products!$A$1:$G$1,0))</f>
        <v>8.25</v>
      </c>
      <c r="M660" s="12">
        <f t="shared" si="30"/>
        <v>24.75</v>
      </c>
      <c r="N660" s="10" t="str">
        <f t="shared" si="31"/>
        <v>Excelsa</v>
      </c>
      <c r="O660" s="10" t="str">
        <f t="shared" si="32"/>
        <v>Medium</v>
      </c>
      <c r="P660" s="10" t="str">
        <f>_xlfn.XLOOKUP(Tableau1[[#This Row],[Customer ID]],customers!A$2:A$1001,customers!I$2:I$1001)</f>
        <v>Yes</v>
      </c>
    </row>
    <row r="661" spans="1:16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9" t="str">
        <f>_xlfn.XLOOKUP(orders!C661,customers!$A$2:$A$1001,customers!$B$2:$B$1001)</f>
        <v>Dollie Gadsden</v>
      </c>
      <c r="G661" s="9" t="str">
        <f>IF(_xlfn.XLOOKUP(orders!C661,customers!$A$2:$A$1001,customers!$C$2:$C$1001,,,)=0,"",_xlfn.XLOOKUP(orders!C661,customers!$A$2:$A$1001,customers!$C$2:$C$1001,,,))</f>
        <v>dgadsdenib@google.com.hk</v>
      </c>
      <c r="H661" s="9" t="str">
        <f>_xlfn.XLOOKUP(C661,customers!$A$2:$A$1001,customers!$G$2:$G$1001,"")</f>
        <v>Ireland</v>
      </c>
      <c r="I661" s="10" t="str">
        <f>INDEX(products!$A$2:$G$49,MATCH(orders!$D661,products!$A$2:$A$49,0),MATCH(orders!I$1,products!$A$1:$G$1,0))</f>
        <v>Ara</v>
      </c>
      <c r="J661" s="10" t="str">
        <f>INDEX(products!$A$2:$G$49,MATCH(orders!$D661,products!$A$2:$A$49,0),MATCH(orders!J$1,products!$A$1:$G$1,0))</f>
        <v>D</v>
      </c>
      <c r="K661" s="11">
        <f>INDEX(products!$A$2:$G$49,MATCH(orders!$D661,products!$A$2:$A$49,0),MATCH(orders!K$1,products!$A$1:$G$1,0))</f>
        <v>2.5</v>
      </c>
      <c r="L661" s="12">
        <f>INDEX(products!$A$2:$G$49,MATCH(orders!$D661,products!$A$2:$A$49,0),MATCH(orders!L$1,products!$A$1:$G$1,0))</f>
        <v>22.884999999999998</v>
      </c>
      <c r="M661" s="12">
        <f t="shared" si="30"/>
        <v>45.769999999999996</v>
      </c>
      <c r="N661" s="10" t="str">
        <f t="shared" si="31"/>
        <v>Arabica</v>
      </c>
      <c r="O661" s="10" t="str">
        <f t="shared" si="32"/>
        <v>Dark</v>
      </c>
      <c r="P661" s="10" t="str">
        <f>_xlfn.XLOOKUP(Tableau1[[#This Row],[Customer ID]],customers!A$2:A$1001,customers!I$2:I$1001)</f>
        <v>Yes</v>
      </c>
    </row>
    <row r="662" spans="1:16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9" t="str">
        <f>_xlfn.XLOOKUP(orders!C662,customers!$A$2:$A$1001,customers!$B$2:$B$1001)</f>
        <v>Val Wakelin</v>
      </c>
      <c r="G662" s="9" t="str">
        <f>IF(_xlfn.XLOOKUP(orders!C662,customers!$A$2:$A$1001,customers!$C$2:$C$1001,,,)=0,"",_xlfn.XLOOKUP(orders!C662,customers!$A$2:$A$1001,customers!$C$2:$C$1001,,,))</f>
        <v>vwakelinic@unesco.org</v>
      </c>
      <c r="H662" s="9" t="str">
        <f>_xlfn.XLOOKUP(C662,customers!$A$2:$A$1001,customers!$G$2:$G$1001,"")</f>
        <v>United States</v>
      </c>
      <c r="I662" s="10" t="str">
        <f>INDEX(products!$A$2:$G$49,MATCH(orders!$D662,products!$A$2:$A$49,0),MATCH(orders!I$1,products!$A$1:$G$1,0))</f>
        <v>Exc</v>
      </c>
      <c r="J662" s="10" t="str">
        <f>INDEX(products!$A$2:$G$49,MATCH(orders!$D662,products!$A$2:$A$49,0),MATCH(orders!J$1,products!$A$1:$G$1,0))</f>
        <v>L</v>
      </c>
      <c r="K662" s="11">
        <f>INDEX(products!$A$2:$G$49,MATCH(orders!$D662,products!$A$2:$A$49,0),MATCH(orders!K$1,products!$A$1:$G$1,0))</f>
        <v>0.5</v>
      </c>
      <c r="L662" s="12">
        <f>INDEX(products!$A$2:$G$49,MATCH(orders!$D662,products!$A$2:$A$49,0),MATCH(orders!L$1,products!$A$1:$G$1,0))</f>
        <v>8.91</v>
      </c>
      <c r="M662" s="12">
        <f t="shared" si="30"/>
        <v>53.46</v>
      </c>
      <c r="N662" s="10" t="str">
        <f t="shared" si="31"/>
        <v>Excelsa</v>
      </c>
      <c r="O662" s="10" t="str">
        <f t="shared" si="32"/>
        <v>Light</v>
      </c>
      <c r="P662" s="10" t="str">
        <f>_xlfn.XLOOKUP(Tableau1[[#This Row],[Customer ID]],customers!A$2:A$1001,customers!I$2:I$1001)</f>
        <v>No</v>
      </c>
    </row>
    <row r="663" spans="1:16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9" t="str">
        <f>_xlfn.XLOOKUP(orders!C663,customers!$A$2:$A$1001,customers!$B$2:$B$1001)</f>
        <v>Annie Campsall</v>
      </c>
      <c r="G663" s="9" t="str">
        <f>IF(_xlfn.XLOOKUP(orders!C663,customers!$A$2:$A$1001,customers!$C$2:$C$1001,,,)=0,"",_xlfn.XLOOKUP(orders!C663,customers!$A$2:$A$1001,customers!$C$2:$C$1001,,,))</f>
        <v>acampsallid@zimbio.com</v>
      </c>
      <c r="H663" s="9" t="str">
        <f>_xlfn.XLOOKUP(C663,customers!$A$2:$A$1001,customers!$G$2:$G$1001,"")</f>
        <v>United States</v>
      </c>
      <c r="I663" s="10" t="str">
        <f>INDEX(products!$A$2:$G$49,MATCH(orders!$D663,products!$A$2:$A$49,0),MATCH(orders!I$1,products!$A$1:$G$1,0))</f>
        <v>Ara</v>
      </c>
      <c r="J663" s="10" t="str">
        <f>INDEX(products!$A$2:$G$49,MATCH(orders!$D663,products!$A$2:$A$49,0),MATCH(orders!J$1,products!$A$1:$G$1,0))</f>
        <v>M</v>
      </c>
      <c r="K663" s="11">
        <f>INDEX(products!$A$2:$G$49,MATCH(orders!$D663,products!$A$2:$A$49,0),MATCH(orders!K$1,products!$A$1:$G$1,0))</f>
        <v>0.2</v>
      </c>
      <c r="L663" s="12">
        <f>INDEX(products!$A$2:$G$49,MATCH(orders!$D663,products!$A$2:$A$49,0),MATCH(orders!L$1,products!$A$1:$G$1,0))</f>
        <v>3.375</v>
      </c>
      <c r="M663" s="12">
        <f t="shared" si="30"/>
        <v>20.25</v>
      </c>
      <c r="N663" s="10" t="str">
        <f t="shared" si="31"/>
        <v>Arabica</v>
      </c>
      <c r="O663" s="10" t="str">
        <f t="shared" si="32"/>
        <v>Medium</v>
      </c>
      <c r="P663" s="10" t="str">
        <f>_xlfn.XLOOKUP(Tableau1[[#This Row],[Customer ID]],customers!A$2:A$1001,customers!I$2:I$1001)</f>
        <v>Yes</v>
      </c>
    </row>
    <row r="664" spans="1:16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9" t="str">
        <f>_xlfn.XLOOKUP(orders!C664,customers!$A$2:$A$1001,customers!$B$2:$B$1001)</f>
        <v>Shermy Moseby</v>
      </c>
      <c r="G664" s="9" t="str">
        <f>IF(_xlfn.XLOOKUP(orders!C664,customers!$A$2:$A$1001,customers!$C$2:$C$1001,,,)=0,"",_xlfn.XLOOKUP(orders!C664,customers!$A$2:$A$1001,customers!$C$2:$C$1001,,,))</f>
        <v>smosebyie@stanford.edu</v>
      </c>
      <c r="H664" s="9" t="str">
        <f>_xlfn.XLOOKUP(C664,customers!$A$2:$A$1001,customers!$G$2:$G$1001,"")</f>
        <v>United States</v>
      </c>
      <c r="I664" s="10" t="str">
        <f>INDEX(products!$A$2:$G$49,MATCH(orders!$D664,products!$A$2:$A$49,0),MATCH(orders!I$1,products!$A$1:$G$1,0))</f>
        <v>Lib</v>
      </c>
      <c r="J664" s="10" t="str">
        <f>INDEX(products!$A$2:$G$49,MATCH(orders!$D664,products!$A$2:$A$49,0),MATCH(orders!J$1,products!$A$1:$G$1,0))</f>
        <v>D</v>
      </c>
      <c r="K664" s="11">
        <f>INDEX(products!$A$2:$G$49,MATCH(orders!$D664,products!$A$2:$A$49,0),MATCH(orders!K$1,products!$A$1:$G$1,0))</f>
        <v>2.5</v>
      </c>
      <c r="L664" s="12">
        <f>INDEX(products!$A$2:$G$49,MATCH(orders!$D664,products!$A$2:$A$49,0),MATCH(orders!L$1,products!$A$1:$G$1,0))</f>
        <v>29.784999999999997</v>
      </c>
      <c r="M664" s="12">
        <f t="shared" si="30"/>
        <v>148.92499999999998</v>
      </c>
      <c r="N664" s="10" t="str">
        <f t="shared" si="31"/>
        <v>Liberica</v>
      </c>
      <c r="O664" s="10" t="str">
        <f t="shared" si="32"/>
        <v>Dark</v>
      </c>
      <c r="P664" s="10" t="str">
        <f>_xlfn.XLOOKUP(Tableau1[[#This Row],[Customer ID]],customers!A$2:A$1001,customers!I$2:I$1001)</f>
        <v>No</v>
      </c>
    </row>
    <row r="665" spans="1:16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9" t="str">
        <f>_xlfn.XLOOKUP(orders!C665,customers!$A$2:$A$1001,customers!$B$2:$B$1001)</f>
        <v>Corrie Wass</v>
      </c>
      <c r="G665" s="9" t="str">
        <f>IF(_xlfn.XLOOKUP(orders!C665,customers!$A$2:$A$1001,customers!$C$2:$C$1001,,,)=0,"",_xlfn.XLOOKUP(orders!C665,customers!$A$2:$A$1001,customers!$C$2:$C$1001,,,))</f>
        <v>cwassif@prweb.com</v>
      </c>
      <c r="H665" s="9" t="str">
        <f>_xlfn.XLOOKUP(C665,customers!$A$2:$A$1001,customers!$G$2:$G$1001,"")</f>
        <v>United States</v>
      </c>
      <c r="I665" s="10" t="str">
        <f>INDEX(products!$A$2:$G$49,MATCH(orders!$D665,products!$A$2:$A$49,0),MATCH(orders!I$1,products!$A$1:$G$1,0))</f>
        <v>Ara</v>
      </c>
      <c r="J665" s="10" t="str">
        <f>INDEX(products!$A$2:$G$49,MATCH(orders!$D665,products!$A$2:$A$49,0),MATCH(orders!J$1,products!$A$1:$G$1,0))</f>
        <v>M</v>
      </c>
      <c r="K665" s="11">
        <f>INDEX(products!$A$2:$G$49,MATCH(orders!$D665,products!$A$2:$A$49,0),MATCH(orders!K$1,products!$A$1:$G$1,0))</f>
        <v>1</v>
      </c>
      <c r="L665" s="12">
        <f>INDEX(products!$A$2:$G$49,MATCH(orders!$D665,products!$A$2:$A$49,0),MATCH(orders!L$1,products!$A$1:$G$1,0))</f>
        <v>11.25</v>
      </c>
      <c r="M665" s="12">
        <f t="shared" si="30"/>
        <v>67.5</v>
      </c>
      <c r="N665" s="10" t="str">
        <f t="shared" si="31"/>
        <v>Arabica</v>
      </c>
      <c r="O665" s="10" t="str">
        <f t="shared" si="32"/>
        <v>Medium</v>
      </c>
      <c r="P665" s="10" t="str">
        <f>_xlfn.XLOOKUP(Tableau1[[#This Row],[Customer ID]],customers!A$2:A$1001,customers!I$2:I$1001)</f>
        <v>No</v>
      </c>
    </row>
    <row r="666" spans="1:16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9" t="str">
        <f>_xlfn.XLOOKUP(orders!C666,customers!$A$2:$A$1001,customers!$B$2:$B$1001)</f>
        <v>Ira Sjostrom</v>
      </c>
      <c r="G666" s="9" t="str">
        <f>IF(_xlfn.XLOOKUP(orders!C666,customers!$A$2:$A$1001,customers!$C$2:$C$1001,,,)=0,"",_xlfn.XLOOKUP(orders!C666,customers!$A$2:$A$1001,customers!$C$2:$C$1001,,,))</f>
        <v>isjostromig@pbs.org</v>
      </c>
      <c r="H666" s="9" t="str">
        <f>_xlfn.XLOOKUP(C666,customers!$A$2:$A$1001,customers!$G$2:$G$1001,"")</f>
        <v>United States</v>
      </c>
      <c r="I666" s="10" t="str">
        <f>INDEX(products!$A$2:$G$49,MATCH(orders!$D666,products!$A$2:$A$49,0),MATCH(orders!I$1,products!$A$1:$G$1,0))</f>
        <v>Exc</v>
      </c>
      <c r="J666" s="10" t="str">
        <f>INDEX(products!$A$2:$G$49,MATCH(orders!$D666,products!$A$2:$A$49,0),MATCH(orders!J$1,products!$A$1:$G$1,0))</f>
        <v>D</v>
      </c>
      <c r="K666" s="11">
        <f>INDEX(products!$A$2:$G$49,MATCH(orders!$D666,products!$A$2:$A$49,0),MATCH(orders!K$1,products!$A$1:$G$1,0))</f>
        <v>1</v>
      </c>
      <c r="L666" s="12">
        <f>INDEX(products!$A$2:$G$49,MATCH(orders!$D666,products!$A$2:$A$49,0),MATCH(orders!L$1,products!$A$1:$G$1,0))</f>
        <v>12.15</v>
      </c>
      <c r="M666" s="12">
        <f t="shared" si="30"/>
        <v>72.900000000000006</v>
      </c>
      <c r="N666" s="10" t="str">
        <f t="shared" si="31"/>
        <v>Excelsa</v>
      </c>
      <c r="O666" s="10" t="str">
        <f t="shared" si="32"/>
        <v>Dark</v>
      </c>
      <c r="P666" s="10" t="str">
        <f>_xlfn.XLOOKUP(Tableau1[[#This Row],[Customer ID]],customers!A$2:A$1001,customers!I$2:I$1001)</f>
        <v>No</v>
      </c>
    </row>
    <row r="667" spans="1:16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9" t="str">
        <f>_xlfn.XLOOKUP(orders!C667,customers!$A$2:$A$1001,customers!$B$2:$B$1001)</f>
        <v>Ira Sjostrom</v>
      </c>
      <c r="G667" s="9" t="str">
        <f>IF(_xlfn.XLOOKUP(orders!C667,customers!$A$2:$A$1001,customers!$C$2:$C$1001,,,)=0,"",_xlfn.XLOOKUP(orders!C667,customers!$A$2:$A$1001,customers!$C$2:$C$1001,,,))</f>
        <v>isjostromig@pbs.org</v>
      </c>
      <c r="H667" s="9" t="str">
        <f>_xlfn.XLOOKUP(C667,customers!$A$2:$A$1001,customers!$G$2:$G$1001,"")</f>
        <v>United States</v>
      </c>
      <c r="I667" s="10" t="str">
        <f>INDEX(products!$A$2:$G$49,MATCH(orders!$D667,products!$A$2:$A$49,0),MATCH(orders!I$1,products!$A$1:$G$1,0))</f>
        <v>Lib</v>
      </c>
      <c r="J667" s="10" t="str">
        <f>INDEX(products!$A$2:$G$49,MATCH(orders!$D667,products!$A$2:$A$49,0),MATCH(orders!J$1,products!$A$1:$G$1,0))</f>
        <v>D</v>
      </c>
      <c r="K667" s="11">
        <f>INDEX(products!$A$2:$G$49,MATCH(orders!$D667,products!$A$2:$A$49,0),MATCH(orders!K$1,products!$A$1:$G$1,0))</f>
        <v>0.2</v>
      </c>
      <c r="L667" s="12">
        <f>INDEX(products!$A$2:$G$49,MATCH(orders!$D667,products!$A$2:$A$49,0),MATCH(orders!L$1,products!$A$1:$G$1,0))</f>
        <v>3.8849999999999998</v>
      </c>
      <c r="M667" s="12">
        <f t="shared" si="30"/>
        <v>7.77</v>
      </c>
      <c r="N667" s="10" t="str">
        <f t="shared" si="31"/>
        <v>Liberica</v>
      </c>
      <c r="O667" s="10" t="str">
        <f t="shared" si="32"/>
        <v>Dark</v>
      </c>
      <c r="P667" s="10" t="str">
        <f>_xlfn.XLOOKUP(Tableau1[[#This Row],[Customer ID]],customers!A$2:A$1001,customers!I$2:I$1001)</f>
        <v>No</v>
      </c>
    </row>
    <row r="668" spans="1:16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9" t="str">
        <f>_xlfn.XLOOKUP(orders!C668,customers!$A$2:$A$1001,customers!$B$2:$B$1001)</f>
        <v>Jermaine Branchett</v>
      </c>
      <c r="G668" s="9" t="str">
        <f>IF(_xlfn.XLOOKUP(orders!C668,customers!$A$2:$A$1001,customers!$C$2:$C$1001,,,)=0,"",_xlfn.XLOOKUP(orders!C668,customers!$A$2:$A$1001,customers!$C$2:$C$1001,,,))</f>
        <v>jbranchettii@bravesites.com</v>
      </c>
      <c r="H668" s="9" t="str">
        <f>_xlfn.XLOOKUP(C668,customers!$A$2:$A$1001,customers!$G$2:$G$1001,"")</f>
        <v>United States</v>
      </c>
      <c r="I668" s="10" t="str">
        <f>INDEX(products!$A$2:$G$49,MATCH(orders!$D668,products!$A$2:$A$49,0),MATCH(orders!I$1,products!$A$1:$G$1,0))</f>
        <v>Ara</v>
      </c>
      <c r="J668" s="10" t="str">
        <f>INDEX(products!$A$2:$G$49,MATCH(orders!$D668,products!$A$2:$A$49,0),MATCH(orders!J$1,products!$A$1:$G$1,0))</f>
        <v>D</v>
      </c>
      <c r="K668" s="11">
        <f>INDEX(products!$A$2:$G$49,MATCH(orders!$D668,products!$A$2:$A$49,0),MATCH(orders!K$1,products!$A$1:$G$1,0))</f>
        <v>2.5</v>
      </c>
      <c r="L668" s="12">
        <f>INDEX(products!$A$2:$G$49,MATCH(orders!$D668,products!$A$2:$A$49,0),MATCH(orders!L$1,products!$A$1:$G$1,0))</f>
        <v>22.884999999999998</v>
      </c>
      <c r="M668" s="12">
        <f t="shared" si="30"/>
        <v>91.539999999999992</v>
      </c>
      <c r="N668" s="10" t="str">
        <f t="shared" si="31"/>
        <v>Arabica</v>
      </c>
      <c r="O668" s="10" t="str">
        <f t="shared" si="32"/>
        <v>Dark</v>
      </c>
      <c r="P668" s="10" t="str">
        <f>_xlfn.XLOOKUP(Tableau1[[#This Row],[Customer ID]],customers!A$2:A$1001,customers!I$2:I$1001)</f>
        <v>No</v>
      </c>
    </row>
    <row r="669" spans="1:16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9" t="str">
        <f>_xlfn.XLOOKUP(orders!C669,customers!$A$2:$A$1001,customers!$B$2:$B$1001)</f>
        <v>Nissie Rudland</v>
      </c>
      <c r="G669" s="9" t="str">
        <f>IF(_xlfn.XLOOKUP(orders!C669,customers!$A$2:$A$1001,customers!$C$2:$C$1001,,,)=0,"",_xlfn.XLOOKUP(orders!C669,customers!$A$2:$A$1001,customers!$C$2:$C$1001,,,))</f>
        <v>nrudlandij@blogs.com</v>
      </c>
      <c r="H669" s="9" t="str">
        <f>_xlfn.XLOOKUP(C669,customers!$A$2:$A$1001,customers!$G$2:$G$1001,"")</f>
        <v>Ireland</v>
      </c>
      <c r="I669" s="10" t="str">
        <f>INDEX(products!$A$2:$G$49,MATCH(orders!$D669,products!$A$2:$A$49,0),MATCH(orders!I$1,products!$A$1:$G$1,0))</f>
        <v>Ara</v>
      </c>
      <c r="J669" s="10" t="str">
        <f>INDEX(products!$A$2:$G$49,MATCH(orders!$D669,products!$A$2:$A$49,0),MATCH(orders!J$1,products!$A$1:$G$1,0))</f>
        <v>D</v>
      </c>
      <c r="K669" s="11">
        <f>INDEX(products!$A$2:$G$49,MATCH(orders!$D669,products!$A$2:$A$49,0),MATCH(orders!K$1,products!$A$1:$G$1,0))</f>
        <v>1</v>
      </c>
      <c r="L669" s="12">
        <f>INDEX(products!$A$2:$G$49,MATCH(orders!$D669,products!$A$2:$A$49,0),MATCH(orders!L$1,products!$A$1:$G$1,0))</f>
        <v>9.9499999999999993</v>
      </c>
      <c r="M669" s="12">
        <f t="shared" si="30"/>
        <v>59.699999999999996</v>
      </c>
      <c r="N669" s="10" t="str">
        <f t="shared" si="31"/>
        <v>Arabica</v>
      </c>
      <c r="O669" s="10" t="str">
        <f t="shared" si="32"/>
        <v>Dark</v>
      </c>
      <c r="P669" s="10" t="str">
        <f>_xlfn.XLOOKUP(Tableau1[[#This Row],[Customer ID]],customers!A$2:A$1001,customers!I$2:I$1001)</f>
        <v>No</v>
      </c>
    </row>
    <row r="670" spans="1:16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9" t="str">
        <f>_xlfn.XLOOKUP(orders!C670,customers!$A$2:$A$1001,customers!$B$2:$B$1001)</f>
        <v>Janella Millett</v>
      </c>
      <c r="G670" s="9" t="str">
        <f>IF(_xlfn.XLOOKUP(orders!C670,customers!$A$2:$A$1001,customers!$C$2:$C$1001,,,)=0,"",_xlfn.XLOOKUP(orders!C670,customers!$A$2:$A$1001,customers!$C$2:$C$1001,,,))</f>
        <v>jmillettik@addtoany.com</v>
      </c>
      <c r="H670" s="9" t="str">
        <f>_xlfn.XLOOKUP(C670,customers!$A$2:$A$1001,customers!$G$2:$G$1001,"")</f>
        <v>United States</v>
      </c>
      <c r="I670" s="10" t="str">
        <f>INDEX(products!$A$2:$G$49,MATCH(orders!$D670,products!$A$2:$A$49,0),MATCH(orders!I$1,products!$A$1:$G$1,0))</f>
        <v>Rob</v>
      </c>
      <c r="J670" s="10" t="str">
        <f>INDEX(products!$A$2:$G$49,MATCH(orders!$D670,products!$A$2:$A$49,0),MATCH(orders!J$1,products!$A$1:$G$1,0))</f>
        <v>L</v>
      </c>
      <c r="K670" s="11">
        <f>INDEX(products!$A$2:$G$49,MATCH(orders!$D670,products!$A$2:$A$49,0),MATCH(orders!K$1,products!$A$1:$G$1,0))</f>
        <v>2.5</v>
      </c>
      <c r="L670" s="12">
        <f>INDEX(products!$A$2:$G$49,MATCH(orders!$D670,products!$A$2:$A$49,0),MATCH(orders!L$1,products!$A$1:$G$1,0))</f>
        <v>27.484999999999996</v>
      </c>
      <c r="M670" s="12">
        <f t="shared" si="30"/>
        <v>137.42499999999998</v>
      </c>
      <c r="N670" s="10" t="str">
        <f t="shared" si="31"/>
        <v>Robusta</v>
      </c>
      <c r="O670" s="10" t="str">
        <f t="shared" si="32"/>
        <v>Light</v>
      </c>
      <c r="P670" s="10" t="str">
        <f>_xlfn.XLOOKUP(Tableau1[[#This Row],[Customer ID]],customers!A$2:A$1001,customers!I$2:I$1001)</f>
        <v>Yes</v>
      </c>
    </row>
    <row r="671" spans="1:16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9" t="str">
        <f>_xlfn.XLOOKUP(orders!C671,customers!$A$2:$A$1001,customers!$B$2:$B$1001)</f>
        <v>Ferdie Tourry</v>
      </c>
      <c r="G671" s="9" t="str">
        <f>IF(_xlfn.XLOOKUP(orders!C671,customers!$A$2:$A$1001,customers!$C$2:$C$1001,,,)=0,"",_xlfn.XLOOKUP(orders!C671,customers!$A$2:$A$1001,customers!$C$2:$C$1001,,,))</f>
        <v>ftourryil@google.de</v>
      </c>
      <c r="H671" s="9" t="str">
        <f>_xlfn.XLOOKUP(C671,customers!$A$2:$A$1001,customers!$G$2:$G$1001,"")</f>
        <v>United States</v>
      </c>
      <c r="I671" s="10" t="str">
        <f>INDEX(products!$A$2:$G$49,MATCH(orders!$D671,products!$A$2:$A$49,0),MATCH(orders!I$1,products!$A$1:$G$1,0))</f>
        <v>Lib</v>
      </c>
      <c r="J671" s="10" t="str">
        <f>INDEX(products!$A$2:$G$49,MATCH(orders!$D671,products!$A$2:$A$49,0),MATCH(orders!J$1,products!$A$1:$G$1,0))</f>
        <v>M</v>
      </c>
      <c r="K671" s="11">
        <f>INDEX(products!$A$2:$G$49,MATCH(orders!$D671,products!$A$2:$A$49,0),MATCH(orders!K$1,products!$A$1:$G$1,0))</f>
        <v>2.5</v>
      </c>
      <c r="L671" s="12">
        <f>INDEX(products!$A$2:$G$49,MATCH(orders!$D671,products!$A$2:$A$49,0),MATCH(orders!L$1,products!$A$1:$G$1,0))</f>
        <v>33.464999999999996</v>
      </c>
      <c r="M671" s="12">
        <f t="shared" si="30"/>
        <v>66.929999999999993</v>
      </c>
      <c r="N671" s="10" t="str">
        <f t="shared" si="31"/>
        <v>Liberica</v>
      </c>
      <c r="O671" s="10" t="str">
        <f t="shared" si="32"/>
        <v>Medium</v>
      </c>
      <c r="P671" s="10" t="str">
        <f>_xlfn.XLOOKUP(Tableau1[[#This Row],[Customer ID]],customers!A$2:A$1001,customers!I$2:I$1001)</f>
        <v>No</v>
      </c>
    </row>
    <row r="672" spans="1:16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9" t="str">
        <f>_xlfn.XLOOKUP(orders!C672,customers!$A$2:$A$1001,customers!$B$2:$B$1001)</f>
        <v>Cecil Weatherall</v>
      </c>
      <c r="G672" s="9" t="str">
        <f>IF(_xlfn.XLOOKUP(orders!C672,customers!$A$2:$A$1001,customers!$C$2:$C$1001,,,)=0,"",_xlfn.XLOOKUP(orders!C672,customers!$A$2:$A$1001,customers!$C$2:$C$1001,,,))</f>
        <v>cweatherallim@toplist.cz</v>
      </c>
      <c r="H672" s="9" t="str">
        <f>_xlfn.XLOOKUP(C672,customers!$A$2:$A$1001,customers!$G$2:$G$1001,"")</f>
        <v>United States</v>
      </c>
      <c r="I672" s="10" t="str">
        <f>INDEX(products!$A$2:$G$49,MATCH(orders!$D672,products!$A$2:$A$49,0),MATCH(orders!I$1,products!$A$1:$G$1,0))</f>
        <v>Lib</v>
      </c>
      <c r="J672" s="10" t="str">
        <f>INDEX(products!$A$2:$G$49,MATCH(orders!$D672,products!$A$2:$A$49,0),MATCH(orders!J$1,products!$A$1:$G$1,0))</f>
        <v>M</v>
      </c>
      <c r="K672" s="11">
        <f>INDEX(products!$A$2:$G$49,MATCH(orders!$D672,products!$A$2:$A$49,0),MATCH(orders!K$1,products!$A$1:$G$1,0))</f>
        <v>0.2</v>
      </c>
      <c r="L672" s="12">
        <f>INDEX(products!$A$2:$G$49,MATCH(orders!$D672,products!$A$2:$A$49,0),MATCH(orders!L$1,products!$A$1:$G$1,0))</f>
        <v>4.3650000000000002</v>
      </c>
      <c r="M672" s="12">
        <f t="shared" si="30"/>
        <v>13.095000000000001</v>
      </c>
      <c r="N672" s="10" t="str">
        <f t="shared" si="31"/>
        <v>Liberica</v>
      </c>
      <c r="O672" s="10" t="str">
        <f t="shared" si="32"/>
        <v>Medium</v>
      </c>
      <c r="P672" s="10" t="str">
        <f>_xlfn.XLOOKUP(Tableau1[[#This Row],[Customer ID]],customers!A$2:A$1001,customers!I$2:I$1001)</f>
        <v>Yes</v>
      </c>
    </row>
    <row r="673" spans="1:16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9" t="str">
        <f>_xlfn.XLOOKUP(orders!C673,customers!$A$2:$A$1001,customers!$B$2:$B$1001)</f>
        <v>Gale Heindrick</v>
      </c>
      <c r="G673" s="9" t="str">
        <f>IF(_xlfn.XLOOKUP(orders!C673,customers!$A$2:$A$1001,customers!$C$2:$C$1001,,,)=0,"",_xlfn.XLOOKUP(orders!C673,customers!$A$2:$A$1001,customers!$C$2:$C$1001,,,))</f>
        <v>gheindrickin@usda.gov</v>
      </c>
      <c r="H673" s="9" t="str">
        <f>_xlfn.XLOOKUP(C673,customers!$A$2:$A$1001,customers!$G$2:$G$1001,"")</f>
        <v>United States</v>
      </c>
      <c r="I673" s="10" t="str">
        <f>INDEX(products!$A$2:$G$49,MATCH(orders!$D673,products!$A$2:$A$49,0),MATCH(orders!I$1,products!$A$1:$G$1,0))</f>
        <v>Rob</v>
      </c>
      <c r="J673" s="10" t="str">
        <f>INDEX(products!$A$2:$G$49,MATCH(orders!$D673,products!$A$2:$A$49,0),MATCH(orders!J$1,products!$A$1:$G$1,0))</f>
        <v>L</v>
      </c>
      <c r="K673" s="11">
        <f>INDEX(products!$A$2:$G$49,MATCH(orders!$D673,products!$A$2:$A$49,0),MATCH(orders!K$1,products!$A$1:$G$1,0))</f>
        <v>1</v>
      </c>
      <c r="L673" s="12">
        <f>INDEX(products!$A$2:$G$49,MATCH(orders!$D673,products!$A$2:$A$49,0),MATCH(orders!L$1,products!$A$1:$G$1,0))</f>
        <v>11.95</v>
      </c>
      <c r="M673" s="12">
        <f t="shared" si="30"/>
        <v>59.75</v>
      </c>
      <c r="N673" s="10" t="str">
        <f t="shared" si="31"/>
        <v>Robusta</v>
      </c>
      <c r="O673" s="10" t="str">
        <f t="shared" si="32"/>
        <v>Light</v>
      </c>
      <c r="P673" s="10" t="str">
        <f>_xlfn.XLOOKUP(Tableau1[[#This Row],[Customer ID]],customers!A$2:A$1001,customers!I$2:I$1001)</f>
        <v>No</v>
      </c>
    </row>
    <row r="674" spans="1:16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9" t="str">
        <f>_xlfn.XLOOKUP(orders!C674,customers!$A$2:$A$1001,customers!$B$2:$B$1001)</f>
        <v>Layne Imason</v>
      </c>
      <c r="G674" s="9" t="str">
        <f>IF(_xlfn.XLOOKUP(orders!C674,customers!$A$2:$A$1001,customers!$C$2:$C$1001,,,)=0,"",_xlfn.XLOOKUP(orders!C674,customers!$A$2:$A$1001,customers!$C$2:$C$1001,,,))</f>
        <v>limasonio@discuz.net</v>
      </c>
      <c r="H674" s="9" t="str">
        <f>_xlfn.XLOOKUP(C674,customers!$A$2:$A$1001,customers!$G$2:$G$1001,"")</f>
        <v>United States</v>
      </c>
      <c r="I674" s="10" t="str">
        <f>INDEX(products!$A$2:$G$49,MATCH(orders!$D674,products!$A$2:$A$49,0),MATCH(orders!I$1,products!$A$1:$G$1,0))</f>
        <v>Lib</v>
      </c>
      <c r="J674" s="10" t="str">
        <f>INDEX(products!$A$2:$G$49,MATCH(orders!$D674,products!$A$2:$A$49,0),MATCH(orders!J$1,products!$A$1:$G$1,0))</f>
        <v>M</v>
      </c>
      <c r="K674" s="11">
        <f>INDEX(products!$A$2:$G$49,MATCH(orders!$D674,products!$A$2:$A$49,0),MATCH(orders!K$1,products!$A$1:$G$1,0))</f>
        <v>0.5</v>
      </c>
      <c r="L674" s="12">
        <f>INDEX(products!$A$2:$G$49,MATCH(orders!$D674,products!$A$2:$A$49,0),MATCH(orders!L$1,products!$A$1:$G$1,0))</f>
        <v>8.73</v>
      </c>
      <c r="M674" s="12">
        <f t="shared" si="30"/>
        <v>43.650000000000006</v>
      </c>
      <c r="N674" s="10" t="str">
        <f t="shared" si="31"/>
        <v>Liberica</v>
      </c>
      <c r="O674" s="10" t="str">
        <f t="shared" si="32"/>
        <v>Medium</v>
      </c>
      <c r="P674" s="10" t="str">
        <f>_xlfn.XLOOKUP(Tableau1[[#This Row],[Customer ID]],customers!A$2:A$1001,customers!I$2:I$1001)</f>
        <v>Yes</v>
      </c>
    </row>
    <row r="675" spans="1:16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9" t="str">
        <f>_xlfn.XLOOKUP(orders!C675,customers!$A$2:$A$1001,customers!$B$2:$B$1001)</f>
        <v>Hazel Saill</v>
      </c>
      <c r="G675" s="9" t="str">
        <f>IF(_xlfn.XLOOKUP(orders!C675,customers!$A$2:$A$1001,customers!$C$2:$C$1001,,,)=0,"",_xlfn.XLOOKUP(orders!C675,customers!$A$2:$A$1001,customers!$C$2:$C$1001,,,))</f>
        <v>hsaillip@odnoklassniki.ru</v>
      </c>
      <c r="H675" s="9" t="str">
        <f>_xlfn.XLOOKUP(C675,customers!$A$2:$A$1001,customers!$G$2:$G$1001,"")</f>
        <v>United States</v>
      </c>
      <c r="I675" s="10" t="str">
        <f>INDEX(products!$A$2:$G$49,MATCH(orders!$D675,products!$A$2:$A$49,0),MATCH(orders!I$1,products!$A$1:$G$1,0))</f>
        <v>Exc</v>
      </c>
      <c r="J675" s="10" t="str">
        <f>INDEX(products!$A$2:$G$49,MATCH(orders!$D675,products!$A$2:$A$49,0),MATCH(orders!J$1,products!$A$1:$G$1,0))</f>
        <v>M</v>
      </c>
      <c r="K675" s="11">
        <f>INDEX(products!$A$2:$G$49,MATCH(orders!$D675,products!$A$2:$A$49,0),MATCH(orders!K$1,products!$A$1:$G$1,0))</f>
        <v>1</v>
      </c>
      <c r="L675" s="12">
        <f>INDEX(products!$A$2:$G$49,MATCH(orders!$D675,products!$A$2:$A$49,0),MATCH(orders!L$1,products!$A$1:$G$1,0))</f>
        <v>13.75</v>
      </c>
      <c r="M675" s="12">
        <f t="shared" si="30"/>
        <v>82.5</v>
      </c>
      <c r="N675" s="10" t="str">
        <f t="shared" si="31"/>
        <v>Excelsa</v>
      </c>
      <c r="O675" s="10" t="str">
        <f t="shared" si="32"/>
        <v>Medium</v>
      </c>
      <c r="P675" s="10" t="str">
        <f>_xlfn.XLOOKUP(Tableau1[[#This Row],[Customer ID]],customers!A$2:A$1001,customers!I$2:I$1001)</f>
        <v>Yes</v>
      </c>
    </row>
    <row r="676" spans="1:16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9" t="str">
        <f>_xlfn.XLOOKUP(orders!C676,customers!$A$2:$A$1001,customers!$B$2:$B$1001)</f>
        <v>Hermann Larvor</v>
      </c>
      <c r="G676" s="9" t="str">
        <f>IF(_xlfn.XLOOKUP(orders!C676,customers!$A$2:$A$1001,customers!$C$2:$C$1001,,,)=0,"",_xlfn.XLOOKUP(orders!C676,customers!$A$2:$A$1001,customers!$C$2:$C$1001,,,))</f>
        <v>hlarvoriq@last.fm</v>
      </c>
      <c r="H676" s="9" t="str">
        <f>_xlfn.XLOOKUP(C676,customers!$A$2:$A$1001,customers!$G$2:$G$1001,"")</f>
        <v>United States</v>
      </c>
      <c r="I676" s="10" t="str">
        <f>INDEX(products!$A$2:$G$49,MATCH(orders!$D676,products!$A$2:$A$49,0),MATCH(orders!I$1,products!$A$1:$G$1,0))</f>
        <v>Ara</v>
      </c>
      <c r="J676" s="10" t="str">
        <f>INDEX(products!$A$2:$G$49,MATCH(orders!$D676,products!$A$2:$A$49,0),MATCH(orders!J$1,products!$A$1:$G$1,0))</f>
        <v>L</v>
      </c>
      <c r="K676" s="11">
        <f>INDEX(products!$A$2:$G$49,MATCH(orders!$D676,products!$A$2:$A$49,0),MATCH(orders!K$1,products!$A$1:$G$1,0))</f>
        <v>2.5</v>
      </c>
      <c r="L676" s="12">
        <f>INDEX(products!$A$2:$G$49,MATCH(orders!$D676,products!$A$2:$A$49,0),MATCH(orders!L$1,products!$A$1:$G$1,0))</f>
        <v>29.784999999999997</v>
      </c>
      <c r="M676" s="12">
        <f t="shared" si="30"/>
        <v>178.70999999999998</v>
      </c>
      <c r="N676" s="10" t="str">
        <f t="shared" si="31"/>
        <v>Arabica</v>
      </c>
      <c r="O676" s="10" t="str">
        <f t="shared" si="32"/>
        <v>Light</v>
      </c>
      <c r="P676" s="10" t="str">
        <f>_xlfn.XLOOKUP(Tableau1[[#This Row],[Customer ID]],customers!A$2:A$1001,customers!I$2:I$1001)</f>
        <v>Yes</v>
      </c>
    </row>
    <row r="677" spans="1:16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9" t="str">
        <f>_xlfn.XLOOKUP(orders!C677,customers!$A$2:$A$1001,customers!$B$2:$B$1001)</f>
        <v>Terri Lyford</v>
      </c>
      <c r="G677" s="9" t="str">
        <f>IF(_xlfn.XLOOKUP(orders!C677,customers!$A$2:$A$1001,customers!$C$2:$C$1001,,,)=0,"",_xlfn.XLOOKUP(orders!C677,customers!$A$2:$A$1001,customers!$C$2:$C$1001,,,))</f>
        <v/>
      </c>
      <c r="H677" s="9" t="str">
        <f>_xlfn.XLOOKUP(C677,customers!$A$2:$A$1001,customers!$G$2:$G$1001,"")</f>
        <v>United States</v>
      </c>
      <c r="I677" s="10" t="str">
        <f>INDEX(products!$A$2:$G$49,MATCH(orders!$D677,products!$A$2:$A$49,0),MATCH(orders!I$1,products!$A$1:$G$1,0))</f>
        <v>Lib</v>
      </c>
      <c r="J677" s="10" t="str">
        <f>INDEX(products!$A$2:$G$49,MATCH(orders!$D677,products!$A$2:$A$49,0),MATCH(orders!J$1,products!$A$1:$G$1,0))</f>
        <v>D</v>
      </c>
      <c r="K677" s="11">
        <f>INDEX(products!$A$2:$G$49,MATCH(orders!$D677,products!$A$2:$A$49,0),MATCH(orders!K$1,products!$A$1:$G$1,0))</f>
        <v>2.5</v>
      </c>
      <c r="L677" s="12">
        <f>INDEX(products!$A$2:$G$49,MATCH(orders!$D677,products!$A$2:$A$49,0),MATCH(orders!L$1,products!$A$1:$G$1,0))</f>
        <v>29.784999999999997</v>
      </c>
      <c r="M677" s="12">
        <f t="shared" si="30"/>
        <v>119.13999999999999</v>
      </c>
      <c r="N677" s="10" t="str">
        <f t="shared" si="31"/>
        <v>Liberica</v>
      </c>
      <c r="O677" s="10" t="str">
        <f t="shared" si="32"/>
        <v>Dark</v>
      </c>
      <c r="P677" s="10" t="str">
        <f>_xlfn.XLOOKUP(Tableau1[[#This Row],[Customer ID]],customers!A$2:A$1001,customers!I$2:I$1001)</f>
        <v>Yes</v>
      </c>
    </row>
    <row r="678" spans="1:16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9" t="str">
        <f>_xlfn.XLOOKUP(orders!C678,customers!$A$2:$A$1001,customers!$B$2:$B$1001)</f>
        <v>Gabey Cogan</v>
      </c>
      <c r="G678" s="9" t="str">
        <f>IF(_xlfn.XLOOKUP(orders!C678,customers!$A$2:$A$1001,customers!$C$2:$C$1001,,,)=0,"",_xlfn.XLOOKUP(orders!C678,customers!$A$2:$A$1001,customers!$C$2:$C$1001,,,))</f>
        <v/>
      </c>
      <c r="H678" s="9" t="str">
        <f>_xlfn.XLOOKUP(C678,customers!$A$2:$A$1001,customers!$G$2:$G$1001,"")</f>
        <v>United States</v>
      </c>
      <c r="I678" s="10" t="str">
        <f>INDEX(products!$A$2:$G$49,MATCH(orders!$D678,products!$A$2:$A$49,0),MATCH(orders!I$1,products!$A$1:$G$1,0))</f>
        <v>Lib</v>
      </c>
      <c r="J678" s="10" t="str">
        <f>INDEX(products!$A$2:$G$49,MATCH(orders!$D678,products!$A$2:$A$49,0),MATCH(orders!J$1,products!$A$1:$G$1,0))</f>
        <v>L</v>
      </c>
      <c r="K678" s="11">
        <f>INDEX(products!$A$2:$G$49,MATCH(orders!$D678,products!$A$2:$A$49,0),MATCH(orders!K$1,products!$A$1:$G$1,0))</f>
        <v>0.5</v>
      </c>
      <c r="L678" s="12">
        <f>INDEX(products!$A$2:$G$49,MATCH(orders!$D678,products!$A$2:$A$49,0),MATCH(orders!L$1,products!$A$1:$G$1,0))</f>
        <v>9.51</v>
      </c>
      <c r="M678" s="12">
        <f t="shared" si="30"/>
        <v>47.55</v>
      </c>
      <c r="N678" s="10" t="str">
        <f t="shared" si="31"/>
        <v>Liberica</v>
      </c>
      <c r="O678" s="10" t="str">
        <f t="shared" si="32"/>
        <v>Light</v>
      </c>
      <c r="P678" s="10" t="str">
        <f>_xlfn.XLOOKUP(Tableau1[[#This Row],[Customer ID]],customers!A$2:A$1001,customers!I$2:I$1001)</f>
        <v>No</v>
      </c>
    </row>
    <row r="679" spans="1:16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9" t="str">
        <f>_xlfn.XLOOKUP(orders!C679,customers!$A$2:$A$1001,customers!$B$2:$B$1001)</f>
        <v>Charin Penwarden</v>
      </c>
      <c r="G679" s="9" t="str">
        <f>IF(_xlfn.XLOOKUP(orders!C679,customers!$A$2:$A$1001,customers!$C$2:$C$1001,,,)=0,"",_xlfn.XLOOKUP(orders!C679,customers!$A$2:$A$1001,customers!$C$2:$C$1001,,,))</f>
        <v>cpenwardenit@mlb.com</v>
      </c>
      <c r="H679" s="9" t="str">
        <f>_xlfn.XLOOKUP(C679,customers!$A$2:$A$1001,customers!$G$2:$G$1001,"")</f>
        <v>Ireland</v>
      </c>
      <c r="I679" s="10" t="str">
        <f>INDEX(products!$A$2:$G$49,MATCH(orders!$D679,products!$A$2:$A$49,0),MATCH(orders!I$1,products!$A$1:$G$1,0))</f>
        <v>Lib</v>
      </c>
      <c r="J679" s="10" t="str">
        <f>INDEX(products!$A$2:$G$49,MATCH(orders!$D679,products!$A$2:$A$49,0),MATCH(orders!J$1,products!$A$1:$G$1,0))</f>
        <v>M</v>
      </c>
      <c r="K679" s="11">
        <f>INDEX(products!$A$2:$G$49,MATCH(orders!$D679,products!$A$2:$A$49,0),MATCH(orders!K$1,products!$A$1:$G$1,0))</f>
        <v>0.5</v>
      </c>
      <c r="L679" s="12">
        <f>INDEX(products!$A$2:$G$49,MATCH(orders!$D679,products!$A$2:$A$49,0),MATCH(orders!L$1,products!$A$1:$G$1,0))</f>
        <v>8.73</v>
      </c>
      <c r="M679" s="12">
        <f t="shared" si="30"/>
        <v>43.650000000000006</v>
      </c>
      <c r="N679" s="10" t="str">
        <f t="shared" si="31"/>
        <v>Liberica</v>
      </c>
      <c r="O679" s="10" t="str">
        <f t="shared" si="32"/>
        <v>Medium</v>
      </c>
      <c r="P679" s="10" t="str">
        <f>_xlfn.XLOOKUP(Tableau1[[#This Row],[Customer ID]],customers!A$2:A$1001,customers!I$2:I$1001)</f>
        <v>No</v>
      </c>
    </row>
    <row r="680" spans="1:16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9" t="str">
        <f>_xlfn.XLOOKUP(orders!C680,customers!$A$2:$A$1001,customers!$B$2:$B$1001)</f>
        <v>Milty Middis</v>
      </c>
      <c r="G680" s="9" t="str">
        <f>IF(_xlfn.XLOOKUP(orders!C680,customers!$A$2:$A$1001,customers!$C$2:$C$1001,,,)=0,"",_xlfn.XLOOKUP(orders!C680,customers!$A$2:$A$1001,customers!$C$2:$C$1001,,,))</f>
        <v>mmiddisiu@dmoz.org</v>
      </c>
      <c r="H680" s="9" t="str">
        <f>_xlfn.XLOOKUP(C680,customers!$A$2:$A$1001,customers!$G$2:$G$1001,"")</f>
        <v>United States</v>
      </c>
      <c r="I680" s="10" t="str">
        <f>INDEX(products!$A$2:$G$49,MATCH(orders!$D680,products!$A$2:$A$49,0),MATCH(orders!I$1,products!$A$1:$G$1,0))</f>
        <v>Ara</v>
      </c>
      <c r="J680" s="10" t="str">
        <f>INDEX(products!$A$2:$G$49,MATCH(orders!$D680,products!$A$2:$A$49,0),MATCH(orders!J$1,products!$A$1:$G$1,0))</f>
        <v>L</v>
      </c>
      <c r="K680" s="11">
        <f>INDEX(products!$A$2:$G$49,MATCH(orders!$D680,products!$A$2:$A$49,0),MATCH(orders!K$1,products!$A$1:$G$1,0))</f>
        <v>2.5</v>
      </c>
      <c r="L680" s="12">
        <f>INDEX(products!$A$2:$G$49,MATCH(orders!$D680,products!$A$2:$A$49,0),MATCH(orders!L$1,products!$A$1:$G$1,0))</f>
        <v>29.784999999999997</v>
      </c>
      <c r="M680" s="12">
        <f t="shared" si="30"/>
        <v>178.70999999999998</v>
      </c>
      <c r="N680" s="10" t="str">
        <f t="shared" si="31"/>
        <v>Arabica</v>
      </c>
      <c r="O680" s="10" t="str">
        <f t="shared" si="32"/>
        <v>Light</v>
      </c>
      <c r="P680" s="10" t="str">
        <f>_xlfn.XLOOKUP(Tableau1[[#This Row],[Customer ID]],customers!A$2:A$1001,customers!I$2:I$1001)</f>
        <v>Yes</v>
      </c>
    </row>
    <row r="681" spans="1:16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9" t="str">
        <f>_xlfn.XLOOKUP(orders!C681,customers!$A$2:$A$1001,customers!$B$2:$B$1001)</f>
        <v>Adrianne Vairow</v>
      </c>
      <c r="G681" s="9" t="str">
        <f>IF(_xlfn.XLOOKUP(orders!C681,customers!$A$2:$A$1001,customers!$C$2:$C$1001,,,)=0,"",_xlfn.XLOOKUP(orders!C681,customers!$A$2:$A$1001,customers!$C$2:$C$1001,,,))</f>
        <v>avairowiv@studiopress.com</v>
      </c>
      <c r="H681" s="9" t="str">
        <f>_xlfn.XLOOKUP(C681,customers!$A$2:$A$1001,customers!$G$2:$G$1001,"")</f>
        <v>United Kingdom</v>
      </c>
      <c r="I681" s="10" t="str">
        <f>INDEX(products!$A$2:$G$49,MATCH(orders!$D681,products!$A$2:$A$49,0),MATCH(orders!I$1,products!$A$1:$G$1,0))</f>
        <v>Rob</v>
      </c>
      <c r="J681" s="10" t="str">
        <f>INDEX(products!$A$2:$G$49,MATCH(orders!$D681,products!$A$2:$A$49,0),MATCH(orders!J$1,products!$A$1:$G$1,0))</f>
        <v>L</v>
      </c>
      <c r="K681" s="11">
        <f>INDEX(products!$A$2:$G$49,MATCH(orders!$D681,products!$A$2:$A$49,0),MATCH(orders!K$1,products!$A$1:$G$1,0))</f>
        <v>2.5</v>
      </c>
      <c r="L681" s="12">
        <f>INDEX(products!$A$2:$G$49,MATCH(orders!$D681,products!$A$2:$A$49,0),MATCH(orders!L$1,products!$A$1:$G$1,0))</f>
        <v>27.484999999999996</v>
      </c>
      <c r="M681" s="12">
        <f t="shared" si="30"/>
        <v>27.484999999999996</v>
      </c>
      <c r="N681" s="10" t="str">
        <f t="shared" si="31"/>
        <v>Robusta</v>
      </c>
      <c r="O681" s="10" t="str">
        <f t="shared" si="32"/>
        <v>Light</v>
      </c>
      <c r="P681" s="10" t="str">
        <f>_xlfn.XLOOKUP(Tableau1[[#This Row],[Customer ID]],customers!A$2:A$1001,customers!I$2:I$1001)</f>
        <v>No</v>
      </c>
    </row>
    <row r="682" spans="1:16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9" t="str">
        <f>_xlfn.XLOOKUP(orders!C682,customers!$A$2:$A$1001,customers!$B$2:$B$1001)</f>
        <v>Anjanette Goldie</v>
      </c>
      <c r="G682" s="9" t="str">
        <f>IF(_xlfn.XLOOKUP(orders!C682,customers!$A$2:$A$1001,customers!$C$2:$C$1001,,,)=0,"",_xlfn.XLOOKUP(orders!C682,customers!$A$2:$A$1001,customers!$C$2:$C$1001,,,))</f>
        <v>agoldieiw@goo.gl</v>
      </c>
      <c r="H682" s="9" t="str">
        <f>_xlfn.XLOOKUP(C682,customers!$A$2:$A$1001,customers!$G$2:$G$1001,"")</f>
        <v>United States</v>
      </c>
      <c r="I682" s="10" t="str">
        <f>INDEX(products!$A$2:$G$49,MATCH(orders!$D682,products!$A$2:$A$49,0),MATCH(orders!I$1,products!$A$1:$G$1,0))</f>
        <v>Ara</v>
      </c>
      <c r="J682" s="10" t="str">
        <f>INDEX(products!$A$2:$G$49,MATCH(orders!$D682,products!$A$2:$A$49,0),MATCH(orders!J$1,products!$A$1:$G$1,0))</f>
        <v>M</v>
      </c>
      <c r="K682" s="11">
        <f>INDEX(products!$A$2:$G$49,MATCH(orders!$D682,products!$A$2:$A$49,0),MATCH(orders!K$1,products!$A$1:$G$1,0))</f>
        <v>1</v>
      </c>
      <c r="L682" s="12">
        <f>INDEX(products!$A$2:$G$49,MATCH(orders!$D682,products!$A$2:$A$49,0),MATCH(orders!L$1,products!$A$1:$G$1,0))</f>
        <v>11.25</v>
      </c>
      <c r="M682" s="12">
        <f t="shared" si="30"/>
        <v>56.25</v>
      </c>
      <c r="N682" s="10" t="str">
        <f t="shared" si="31"/>
        <v>Arabica</v>
      </c>
      <c r="O682" s="10" t="str">
        <f t="shared" si="32"/>
        <v>Medium</v>
      </c>
      <c r="P682" s="10" t="str">
        <f>_xlfn.XLOOKUP(Tableau1[[#This Row],[Customer ID]],customers!A$2:A$1001,customers!I$2:I$1001)</f>
        <v>No</v>
      </c>
    </row>
    <row r="683" spans="1:16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9" t="str">
        <f>_xlfn.XLOOKUP(orders!C683,customers!$A$2:$A$1001,customers!$B$2:$B$1001)</f>
        <v>Nicky Ayris</v>
      </c>
      <c r="G683" s="9" t="str">
        <f>IF(_xlfn.XLOOKUP(orders!C683,customers!$A$2:$A$1001,customers!$C$2:$C$1001,,,)=0,"",_xlfn.XLOOKUP(orders!C683,customers!$A$2:$A$1001,customers!$C$2:$C$1001,,,))</f>
        <v>nayrisix@t-online.de</v>
      </c>
      <c r="H683" s="9" t="str">
        <f>_xlfn.XLOOKUP(C683,customers!$A$2:$A$1001,customers!$G$2:$G$1001,"")</f>
        <v>United Kingdom</v>
      </c>
      <c r="I683" s="10" t="str">
        <f>INDEX(products!$A$2:$G$49,MATCH(orders!$D683,products!$A$2:$A$49,0),MATCH(orders!I$1,products!$A$1:$G$1,0))</f>
        <v>Lib</v>
      </c>
      <c r="J683" s="10" t="str">
        <f>INDEX(products!$A$2:$G$49,MATCH(orders!$D683,products!$A$2:$A$49,0),MATCH(orders!J$1,products!$A$1:$G$1,0))</f>
        <v>L</v>
      </c>
      <c r="K683" s="11">
        <f>INDEX(products!$A$2:$G$49,MATCH(orders!$D683,products!$A$2:$A$49,0),MATCH(orders!K$1,products!$A$1:$G$1,0))</f>
        <v>0.2</v>
      </c>
      <c r="L683" s="12">
        <f>INDEX(products!$A$2:$G$49,MATCH(orders!$D683,products!$A$2:$A$49,0),MATCH(orders!L$1,products!$A$1:$G$1,0))</f>
        <v>4.7549999999999999</v>
      </c>
      <c r="M683" s="12">
        <f t="shared" si="30"/>
        <v>9.51</v>
      </c>
      <c r="N683" s="10" t="str">
        <f t="shared" si="31"/>
        <v>Liberica</v>
      </c>
      <c r="O683" s="10" t="str">
        <f t="shared" si="32"/>
        <v>Light</v>
      </c>
      <c r="P683" s="10" t="str">
        <f>_xlfn.XLOOKUP(Tableau1[[#This Row],[Customer ID]],customers!A$2:A$1001,customers!I$2:I$1001)</f>
        <v>Yes</v>
      </c>
    </row>
    <row r="684" spans="1:16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9" t="str">
        <f>_xlfn.XLOOKUP(orders!C684,customers!$A$2:$A$1001,customers!$B$2:$B$1001)</f>
        <v>Laryssa Benediktovich</v>
      </c>
      <c r="G684" s="9" t="str">
        <f>IF(_xlfn.XLOOKUP(orders!C684,customers!$A$2:$A$1001,customers!$C$2:$C$1001,,,)=0,"",_xlfn.XLOOKUP(orders!C684,customers!$A$2:$A$1001,customers!$C$2:$C$1001,,,))</f>
        <v>lbenediktovichiy@wunderground.com</v>
      </c>
      <c r="H684" s="9" t="str">
        <f>_xlfn.XLOOKUP(C684,customers!$A$2:$A$1001,customers!$G$2:$G$1001,"")</f>
        <v>United States</v>
      </c>
      <c r="I684" s="10" t="str">
        <f>INDEX(products!$A$2:$G$49,MATCH(orders!$D684,products!$A$2:$A$49,0),MATCH(orders!I$1,products!$A$1:$G$1,0))</f>
        <v>Exc</v>
      </c>
      <c r="J684" s="10" t="str">
        <f>INDEX(products!$A$2:$G$49,MATCH(orders!$D684,products!$A$2:$A$49,0),MATCH(orders!J$1,products!$A$1:$G$1,0))</f>
        <v>M</v>
      </c>
      <c r="K684" s="11">
        <f>INDEX(products!$A$2:$G$49,MATCH(orders!$D684,products!$A$2:$A$49,0),MATCH(orders!K$1,products!$A$1:$G$1,0))</f>
        <v>0.2</v>
      </c>
      <c r="L684" s="12">
        <f>INDEX(products!$A$2:$G$49,MATCH(orders!$D684,products!$A$2:$A$49,0),MATCH(orders!L$1,products!$A$1:$G$1,0))</f>
        <v>4.125</v>
      </c>
      <c r="M684" s="12">
        <f t="shared" si="30"/>
        <v>8.25</v>
      </c>
      <c r="N684" s="10" t="str">
        <f t="shared" si="31"/>
        <v>Excelsa</v>
      </c>
      <c r="O684" s="10" t="str">
        <f t="shared" si="32"/>
        <v>Medium</v>
      </c>
      <c r="P684" s="10" t="str">
        <f>_xlfn.XLOOKUP(Tableau1[[#This Row],[Customer ID]],customers!A$2:A$1001,customers!I$2:I$1001)</f>
        <v>Yes</v>
      </c>
    </row>
    <row r="685" spans="1:16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9" t="str">
        <f>_xlfn.XLOOKUP(orders!C685,customers!$A$2:$A$1001,customers!$B$2:$B$1001)</f>
        <v>Theo Jacobovitz</v>
      </c>
      <c r="G685" s="9" t="str">
        <f>IF(_xlfn.XLOOKUP(orders!C685,customers!$A$2:$A$1001,customers!$C$2:$C$1001,,,)=0,"",_xlfn.XLOOKUP(orders!C685,customers!$A$2:$A$1001,customers!$C$2:$C$1001,,,))</f>
        <v>tjacobovitziz@cbc.ca</v>
      </c>
      <c r="H685" s="9" t="str">
        <f>_xlfn.XLOOKUP(C685,customers!$A$2:$A$1001,customers!$G$2:$G$1001,"")</f>
        <v>United States</v>
      </c>
      <c r="I685" s="10" t="str">
        <f>INDEX(products!$A$2:$G$49,MATCH(orders!$D685,products!$A$2:$A$49,0),MATCH(orders!I$1,products!$A$1:$G$1,0))</f>
        <v>Lib</v>
      </c>
      <c r="J685" s="10" t="str">
        <f>INDEX(products!$A$2:$G$49,MATCH(orders!$D685,products!$A$2:$A$49,0),MATCH(orders!J$1,products!$A$1:$G$1,0))</f>
        <v>D</v>
      </c>
      <c r="K685" s="11">
        <f>INDEX(products!$A$2:$G$49,MATCH(orders!$D685,products!$A$2:$A$49,0),MATCH(orders!K$1,products!$A$1:$G$1,0))</f>
        <v>0.5</v>
      </c>
      <c r="L685" s="12">
        <f>INDEX(products!$A$2:$G$49,MATCH(orders!$D685,products!$A$2:$A$49,0),MATCH(orders!L$1,products!$A$1:$G$1,0))</f>
        <v>7.77</v>
      </c>
      <c r="M685" s="12">
        <f t="shared" si="30"/>
        <v>46.62</v>
      </c>
      <c r="N685" s="10" t="str">
        <f t="shared" si="31"/>
        <v>Liberica</v>
      </c>
      <c r="O685" s="10" t="str">
        <f t="shared" si="32"/>
        <v>Dark</v>
      </c>
      <c r="P685" s="10" t="str">
        <f>_xlfn.XLOOKUP(Tableau1[[#This Row],[Customer ID]],customers!A$2:A$1001,customers!I$2:I$1001)</f>
        <v>No</v>
      </c>
    </row>
    <row r="686" spans="1:16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9" t="str">
        <f>_xlfn.XLOOKUP(orders!C686,customers!$A$2:$A$1001,customers!$B$2:$B$1001)</f>
        <v>Becca Ableson</v>
      </c>
      <c r="G686" s="9" t="str">
        <f>IF(_xlfn.XLOOKUP(orders!C686,customers!$A$2:$A$1001,customers!$C$2:$C$1001,,,)=0,"",_xlfn.XLOOKUP(orders!C686,customers!$A$2:$A$1001,customers!$C$2:$C$1001,,,))</f>
        <v/>
      </c>
      <c r="H686" s="9" t="str">
        <f>_xlfn.XLOOKUP(C686,customers!$A$2:$A$1001,customers!$G$2:$G$1001,"")</f>
        <v>United States</v>
      </c>
      <c r="I686" s="10" t="str">
        <f>INDEX(products!$A$2:$G$49,MATCH(orders!$D686,products!$A$2:$A$49,0),MATCH(orders!I$1,products!$A$1:$G$1,0))</f>
        <v>Rob</v>
      </c>
      <c r="J686" s="10" t="str">
        <f>INDEX(products!$A$2:$G$49,MATCH(orders!$D686,products!$A$2:$A$49,0),MATCH(orders!J$1,products!$A$1:$G$1,0))</f>
        <v>L</v>
      </c>
      <c r="K686" s="11">
        <f>INDEX(products!$A$2:$G$49,MATCH(orders!$D686,products!$A$2:$A$49,0),MATCH(orders!K$1,products!$A$1:$G$1,0))</f>
        <v>1</v>
      </c>
      <c r="L686" s="12">
        <f>INDEX(products!$A$2:$G$49,MATCH(orders!$D686,products!$A$2:$A$49,0),MATCH(orders!L$1,products!$A$1:$G$1,0))</f>
        <v>11.95</v>
      </c>
      <c r="M686" s="12">
        <f t="shared" si="30"/>
        <v>71.699999999999989</v>
      </c>
      <c r="N686" s="10" t="str">
        <f t="shared" si="31"/>
        <v>Robusta</v>
      </c>
      <c r="O686" s="10" t="str">
        <f t="shared" si="32"/>
        <v>Light</v>
      </c>
      <c r="P686" s="10" t="str">
        <f>_xlfn.XLOOKUP(Tableau1[[#This Row],[Customer ID]],customers!A$2:A$1001,customers!I$2:I$1001)</f>
        <v>No</v>
      </c>
    </row>
    <row r="687" spans="1:16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9" t="str">
        <f>_xlfn.XLOOKUP(orders!C687,customers!$A$2:$A$1001,customers!$B$2:$B$1001)</f>
        <v>Jeno Druitt</v>
      </c>
      <c r="G687" s="9" t="str">
        <f>IF(_xlfn.XLOOKUP(orders!C687,customers!$A$2:$A$1001,customers!$C$2:$C$1001,,,)=0,"",_xlfn.XLOOKUP(orders!C687,customers!$A$2:$A$1001,customers!$C$2:$C$1001,,,))</f>
        <v>jdruittj1@feedburner.com</v>
      </c>
      <c r="H687" s="9" t="str">
        <f>_xlfn.XLOOKUP(C687,customers!$A$2:$A$1001,customers!$G$2:$G$1001,"")</f>
        <v>United States</v>
      </c>
      <c r="I687" s="10" t="str">
        <f>INDEX(products!$A$2:$G$49,MATCH(orders!$D687,products!$A$2:$A$49,0),MATCH(orders!I$1,products!$A$1:$G$1,0))</f>
        <v>Lib</v>
      </c>
      <c r="J687" s="10" t="str">
        <f>INDEX(products!$A$2:$G$49,MATCH(orders!$D687,products!$A$2:$A$49,0),MATCH(orders!J$1,products!$A$1:$G$1,0))</f>
        <v>L</v>
      </c>
      <c r="K687" s="11">
        <f>INDEX(products!$A$2:$G$49,MATCH(orders!$D687,products!$A$2:$A$49,0),MATCH(orders!K$1,products!$A$1:$G$1,0))</f>
        <v>2.5</v>
      </c>
      <c r="L687" s="12">
        <f>INDEX(products!$A$2:$G$49,MATCH(orders!$D687,products!$A$2:$A$49,0),MATCH(orders!L$1,products!$A$1:$G$1,0))</f>
        <v>36.454999999999998</v>
      </c>
      <c r="M687" s="12">
        <f t="shared" si="30"/>
        <v>72.91</v>
      </c>
      <c r="N687" s="10" t="str">
        <f t="shared" si="31"/>
        <v>Liberica</v>
      </c>
      <c r="O687" s="10" t="str">
        <f t="shared" si="32"/>
        <v>Light</v>
      </c>
      <c r="P687" s="10" t="str">
        <f>_xlfn.XLOOKUP(Tableau1[[#This Row],[Customer ID]],customers!A$2:A$1001,customers!I$2:I$1001)</f>
        <v>Yes</v>
      </c>
    </row>
    <row r="688" spans="1:16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9" t="str">
        <f>_xlfn.XLOOKUP(orders!C688,customers!$A$2:$A$1001,customers!$B$2:$B$1001)</f>
        <v>Deonne Shortall</v>
      </c>
      <c r="G688" s="9" t="str">
        <f>IF(_xlfn.XLOOKUP(orders!C688,customers!$A$2:$A$1001,customers!$C$2:$C$1001,,,)=0,"",_xlfn.XLOOKUP(orders!C688,customers!$A$2:$A$1001,customers!$C$2:$C$1001,,,))</f>
        <v>dshortallj2@wikipedia.org</v>
      </c>
      <c r="H688" s="9" t="str">
        <f>_xlfn.XLOOKUP(C688,customers!$A$2:$A$1001,customers!$G$2:$G$1001,"")</f>
        <v>United States</v>
      </c>
      <c r="I688" s="10" t="str">
        <f>INDEX(products!$A$2:$G$49,MATCH(orders!$D688,products!$A$2:$A$49,0),MATCH(orders!I$1,products!$A$1:$G$1,0))</f>
        <v>Rob</v>
      </c>
      <c r="J688" s="10" t="str">
        <f>INDEX(products!$A$2:$G$49,MATCH(orders!$D688,products!$A$2:$A$49,0),MATCH(orders!J$1,products!$A$1:$G$1,0))</f>
        <v>D</v>
      </c>
      <c r="K688" s="11">
        <f>INDEX(products!$A$2:$G$49,MATCH(orders!$D688,products!$A$2:$A$49,0),MATCH(orders!K$1,products!$A$1:$G$1,0))</f>
        <v>0.2</v>
      </c>
      <c r="L688" s="12">
        <f>INDEX(products!$A$2:$G$49,MATCH(orders!$D688,products!$A$2:$A$49,0),MATCH(orders!L$1,products!$A$1:$G$1,0))</f>
        <v>2.6849999999999996</v>
      </c>
      <c r="M688" s="12">
        <f t="shared" si="30"/>
        <v>8.0549999999999997</v>
      </c>
      <c r="N688" s="10" t="str">
        <f t="shared" si="31"/>
        <v>Robusta</v>
      </c>
      <c r="O688" s="10" t="str">
        <f t="shared" si="32"/>
        <v>Dark</v>
      </c>
      <c r="P688" s="10" t="str">
        <f>_xlfn.XLOOKUP(Tableau1[[#This Row],[Customer ID]],customers!A$2:A$1001,customers!I$2:I$1001)</f>
        <v>Yes</v>
      </c>
    </row>
    <row r="689" spans="1:16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9" t="str">
        <f>_xlfn.XLOOKUP(orders!C689,customers!$A$2:$A$1001,customers!$B$2:$B$1001)</f>
        <v>Wilton Cottier</v>
      </c>
      <c r="G689" s="9" t="str">
        <f>IF(_xlfn.XLOOKUP(orders!C689,customers!$A$2:$A$1001,customers!$C$2:$C$1001,,,)=0,"",_xlfn.XLOOKUP(orders!C689,customers!$A$2:$A$1001,customers!$C$2:$C$1001,,,))</f>
        <v>wcottierj3@cafepress.com</v>
      </c>
      <c r="H689" s="9" t="str">
        <f>_xlfn.XLOOKUP(C689,customers!$A$2:$A$1001,customers!$G$2:$G$1001,"")</f>
        <v>United States</v>
      </c>
      <c r="I689" s="10" t="str">
        <f>INDEX(products!$A$2:$G$49,MATCH(orders!$D689,products!$A$2:$A$49,0),MATCH(orders!I$1,products!$A$1:$G$1,0))</f>
        <v>Exc</v>
      </c>
      <c r="J689" s="10" t="str">
        <f>INDEX(products!$A$2:$G$49,MATCH(orders!$D689,products!$A$2:$A$49,0),MATCH(orders!J$1,products!$A$1:$G$1,0))</f>
        <v>M</v>
      </c>
      <c r="K689" s="11">
        <f>INDEX(products!$A$2:$G$49,MATCH(orders!$D689,products!$A$2:$A$49,0),MATCH(orders!K$1,products!$A$1:$G$1,0))</f>
        <v>0.5</v>
      </c>
      <c r="L689" s="12">
        <f>INDEX(products!$A$2:$G$49,MATCH(orders!$D689,products!$A$2:$A$49,0),MATCH(orders!L$1,products!$A$1:$G$1,0))</f>
        <v>8.25</v>
      </c>
      <c r="M689" s="12">
        <f t="shared" si="30"/>
        <v>16.5</v>
      </c>
      <c r="N689" s="10" t="str">
        <f t="shared" si="31"/>
        <v>Excelsa</v>
      </c>
      <c r="O689" s="10" t="str">
        <f t="shared" si="32"/>
        <v>Medium</v>
      </c>
      <c r="P689" s="10" t="str">
        <f>_xlfn.XLOOKUP(Tableau1[[#This Row],[Customer ID]],customers!A$2:A$1001,customers!I$2:I$1001)</f>
        <v>No</v>
      </c>
    </row>
    <row r="690" spans="1:16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9" t="str">
        <f>_xlfn.XLOOKUP(orders!C690,customers!$A$2:$A$1001,customers!$B$2:$B$1001)</f>
        <v>Kevan Grinsted</v>
      </c>
      <c r="G690" s="9" t="str">
        <f>IF(_xlfn.XLOOKUP(orders!C690,customers!$A$2:$A$1001,customers!$C$2:$C$1001,,,)=0,"",_xlfn.XLOOKUP(orders!C690,customers!$A$2:$A$1001,customers!$C$2:$C$1001,,,))</f>
        <v>kgrinstedj4@google.com.br</v>
      </c>
      <c r="H690" s="9" t="str">
        <f>_xlfn.XLOOKUP(C690,customers!$A$2:$A$1001,customers!$G$2:$G$1001,"")</f>
        <v>Ireland</v>
      </c>
      <c r="I690" s="10" t="str">
        <f>INDEX(products!$A$2:$G$49,MATCH(orders!$D690,products!$A$2:$A$49,0),MATCH(orders!I$1,products!$A$1:$G$1,0))</f>
        <v>Ara</v>
      </c>
      <c r="J690" s="10" t="str">
        <f>INDEX(products!$A$2:$G$49,MATCH(orders!$D690,products!$A$2:$A$49,0),MATCH(orders!J$1,products!$A$1:$G$1,0))</f>
        <v>L</v>
      </c>
      <c r="K690" s="11">
        <f>INDEX(products!$A$2:$G$49,MATCH(orders!$D690,products!$A$2:$A$49,0),MATCH(orders!K$1,products!$A$1:$G$1,0))</f>
        <v>1</v>
      </c>
      <c r="L690" s="12">
        <f>INDEX(products!$A$2:$G$49,MATCH(orders!$D690,products!$A$2:$A$49,0),MATCH(orders!L$1,products!$A$1:$G$1,0))</f>
        <v>12.95</v>
      </c>
      <c r="M690" s="12">
        <f t="shared" si="30"/>
        <v>64.75</v>
      </c>
      <c r="N690" s="10" t="str">
        <f t="shared" si="31"/>
        <v>Arabica</v>
      </c>
      <c r="O690" s="10" t="str">
        <f t="shared" si="32"/>
        <v>Light</v>
      </c>
      <c r="P690" s="10" t="str">
        <f>_xlfn.XLOOKUP(Tableau1[[#This Row],[Customer ID]],customers!A$2:A$1001,customers!I$2:I$1001)</f>
        <v>No</v>
      </c>
    </row>
    <row r="691" spans="1:16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9" t="str">
        <f>_xlfn.XLOOKUP(orders!C691,customers!$A$2:$A$1001,customers!$B$2:$B$1001)</f>
        <v>Dionne Skyner</v>
      </c>
      <c r="G691" s="9" t="str">
        <f>IF(_xlfn.XLOOKUP(orders!C691,customers!$A$2:$A$1001,customers!$C$2:$C$1001,,,)=0,"",_xlfn.XLOOKUP(orders!C691,customers!$A$2:$A$1001,customers!$C$2:$C$1001,,,))</f>
        <v>dskynerj5@hubpages.com</v>
      </c>
      <c r="H691" s="9" t="str">
        <f>_xlfn.XLOOKUP(C691,customers!$A$2:$A$1001,customers!$G$2:$G$1001,"")</f>
        <v>United States</v>
      </c>
      <c r="I691" s="10" t="str">
        <f>INDEX(products!$A$2:$G$49,MATCH(orders!$D691,products!$A$2:$A$49,0),MATCH(orders!I$1,products!$A$1:$G$1,0))</f>
        <v>Ara</v>
      </c>
      <c r="J691" s="10" t="str">
        <f>INDEX(products!$A$2:$G$49,MATCH(orders!$D691,products!$A$2:$A$49,0),MATCH(orders!J$1,products!$A$1:$G$1,0))</f>
        <v>M</v>
      </c>
      <c r="K691" s="11">
        <f>INDEX(products!$A$2:$G$49,MATCH(orders!$D691,products!$A$2:$A$49,0),MATCH(orders!K$1,products!$A$1:$G$1,0))</f>
        <v>0.5</v>
      </c>
      <c r="L691" s="12">
        <f>INDEX(products!$A$2:$G$49,MATCH(orders!$D691,products!$A$2:$A$49,0),MATCH(orders!L$1,products!$A$1:$G$1,0))</f>
        <v>6.75</v>
      </c>
      <c r="M691" s="12">
        <f t="shared" si="30"/>
        <v>33.75</v>
      </c>
      <c r="N691" s="10" t="str">
        <f t="shared" si="31"/>
        <v>Arabica</v>
      </c>
      <c r="O691" s="10" t="str">
        <f t="shared" si="32"/>
        <v>Medium</v>
      </c>
      <c r="P691" s="10" t="str">
        <f>_xlfn.XLOOKUP(Tableau1[[#This Row],[Customer ID]],customers!A$2:A$1001,customers!I$2:I$1001)</f>
        <v>No</v>
      </c>
    </row>
    <row r="692" spans="1:16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9" t="str">
        <f>_xlfn.XLOOKUP(orders!C692,customers!$A$2:$A$1001,customers!$B$2:$B$1001)</f>
        <v>Francesco Dressel</v>
      </c>
      <c r="G692" s="9" t="str">
        <f>IF(_xlfn.XLOOKUP(orders!C692,customers!$A$2:$A$1001,customers!$C$2:$C$1001,,,)=0,"",_xlfn.XLOOKUP(orders!C692,customers!$A$2:$A$1001,customers!$C$2:$C$1001,,,))</f>
        <v/>
      </c>
      <c r="H692" s="9" t="str">
        <f>_xlfn.XLOOKUP(C692,customers!$A$2:$A$1001,customers!$G$2:$G$1001,"")</f>
        <v>United States</v>
      </c>
      <c r="I692" s="10" t="str">
        <f>INDEX(products!$A$2:$G$49,MATCH(orders!$D692,products!$A$2:$A$49,0),MATCH(orders!I$1,products!$A$1:$G$1,0))</f>
        <v>Lib</v>
      </c>
      <c r="J692" s="10" t="str">
        <f>INDEX(products!$A$2:$G$49,MATCH(orders!$D692,products!$A$2:$A$49,0),MATCH(orders!J$1,products!$A$1:$G$1,0))</f>
        <v>D</v>
      </c>
      <c r="K692" s="11">
        <f>INDEX(products!$A$2:$G$49,MATCH(orders!$D692,products!$A$2:$A$49,0),MATCH(orders!K$1,products!$A$1:$G$1,0))</f>
        <v>2.5</v>
      </c>
      <c r="L692" s="12">
        <f>INDEX(products!$A$2:$G$49,MATCH(orders!$D692,products!$A$2:$A$49,0),MATCH(orders!L$1,products!$A$1:$G$1,0))</f>
        <v>29.784999999999997</v>
      </c>
      <c r="M692" s="12">
        <f t="shared" si="30"/>
        <v>178.70999999999998</v>
      </c>
      <c r="N692" s="10" t="str">
        <f t="shared" si="31"/>
        <v>Liberica</v>
      </c>
      <c r="O692" s="10" t="str">
        <f t="shared" si="32"/>
        <v>Dark</v>
      </c>
      <c r="P692" s="10" t="str">
        <f>_xlfn.XLOOKUP(Tableau1[[#This Row],[Customer ID]],customers!A$2:A$1001,customers!I$2:I$1001)</f>
        <v>No</v>
      </c>
    </row>
    <row r="693" spans="1:16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9" t="str">
        <f>_xlfn.XLOOKUP(orders!C693,customers!$A$2:$A$1001,customers!$B$2:$B$1001)</f>
        <v>Jimmy Dymoke</v>
      </c>
      <c r="G693" s="9" t="str">
        <f>IF(_xlfn.XLOOKUP(orders!C693,customers!$A$2:$A$1001,customers!$C$2:$C$1001,,,)=0,"",_xlfn.XLOOKUP(orders!C693,customers!$A$2:$A$1001,customers!$C$2:$C$1001,,,))</f>
        <v>jdymokeje@prnewswire.com</v>
      </c>
      <c r="H693" s="9" t="str">
        <f>_xlfn.XLOOKUP(C693,customers!$A$2:$A$1001,customers!$G$2:$G$1001,"")</f>
        <v>Ireland</v>
      </c>
      <c r="I693" s="10" t="str">
        <f>INDEX(products!$A$2:$G$49,MATCH(orders!$D693,products!$A$2:$A$49,0),MATCH(orders!I$1,products!$A$1:$G$1,0))</f>
        <v>Ara</v>
      </c>
      <c r="J693" s="10" t="str">
        <f>INDEX(products!$A$2:$G$49,MATCH(orders!$D693,products!$A$2:$A$49,0),MATCH(orders!J$1,products!$A$1:$G$1,0))</f>
        <v>M</v>
      </c>
      <c r="K693" s="11">
        <f>INDEX(products!$A$2:$G$49,MATCH(orders!$D693,products!$A$2:$A$49,0),MATCH(orders!K$1,products!$A$1:$G$1,0))</f>
        <v>1</v>
      </c>
      <c r="L693" s="12">
        <f>INDEX(products!$A$2:$G$49,MATCH(orders!$D693,products!$A$2:$A$49,0),MATCH(orders!L$1,products!$A$1:$G$1,0))</f>
        <v>11.25</v>
      </c>
      <c r="M693" s="12">
        <f t="shared" si="30"/>
        <v>22.5</v>
      </c>
      <c r="N693" s="10" t="str">
        <f t="shared" si="31"/>
        <v>Arabica</v>
      </c>
      <c r="O693" s="10" t="str">
        <f t="shared" si="32"/>
        <v>Medium</v>
      </c>
      <c r="P693" s="10" t="str">
        <f>_xlfn.XLOOKUP(Tableau1[[#This Row],[Customer ID]],customers!A$2:A$1001,customers!I$2:I$1001)</f>
        <v>No</v>
      </c>
    </row>
    <row r="694" spans="1:16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9" t="str">
        <f>_xlfn.XLOOKUP(orders!C694,customers!$A$2:$A$1001,customers!$B$2:$B$1001)</f>
        <v>Ambrosio Weinmann</v>
      </c>
      <c r="G694" s="9" t="str">
        <f>IF(_xlfn.XLOOKUP(orders!C694,customers!$A$2:$A$1001,customers!$C$2:$C$1001,,,)=0,"",_xlfn.XLOOKUP(orders!C694,customers!$A$2:$A$1001,customers!$C$2:$C$1001,,,))</f>
        <v>aweinmannj8@shinystat.com</v>
      </c>
      <c r="H694" s="9" t="str">
        <f>_xlfn.XLOOKUP(C694,customers!$A$2:$A$1001,customers!$G$2:$G$1001,"")</f>
        <v>United States</v>
      </c>
      <c r="I694" s="10" t="str">
        <f>INDEX(products!$A$2:$G$49,MATCH(orders!$D694,products!$A$2:$A$49,0),MATCH(orders!I$1,products!$A$1:$G$1,0))</f>
        <v>Lib</v>
      </c>
      <c r="J694" s="10" t="str">
        <f>INDEX(products!$A$2:$G$49,MATCH(orders!$D694,products!$A$2:$A$49,0),MATCH(orders!J$1,products!$A$1:$G$1,0))</f>
        <v>D</v>
      </c>
      <c r="K694" s="11">
        <f>INDEX(products!$A$2:$G$49,MATCH(orders!$D694,products!$A$2:$A$49,0),MATCH(orders!K$1,products!$A$1:$G$1,0))</f>
        <v>1</v>
      </c>
      <c r="L694" s="12">
        <f>INDEX(products!$A$2:$G$49,MATCH(orders!$D694,products!$A$2:$A$49,0),MATCH(orders!L$1,products!$A$1:$G$1,0))</f>
        <v>12.95</v>
      </c>
      <c r="M694" s="12">
        <f t="shared" si="30"/>
        <v>12.95</v>
      </c>
      <c r="N694" s="10" t="str">
        <f t="shared" si="31"/>
        <v>Liberica</v>
      </c>
      <c r="O694" s="10" t="str">
        <f t="shared" si="32"/>
        <v>Dark</v>
      </c>
      <c r="P694" s="10" t="str">
        <f>_xlfn.XLOOKUP(Tableau1[[#This Row],[Customer ID]],customers!A$2:A$1001,customers!I$2:I$1001)</f>
        <v>No</v>
      </c>
    </row>
    <row r="695" spans="1:16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9" t="str">
        <f>_xlfn.XLOOKUP(orders!C695,customers!$A$2:$A$1001,customers!$B$2:$B$1001)</f>
        <v>Elden Andriessen</v>
      </c>
      <c r="G695" s="9" t="str">
        <f>IF(_xlfn.XLOOKUP(orders!C695,customers!$A$2:$A$1001,customers!$C$2:$C$1001,,,)=0,"",_xlfn.XLOOKUP(orders!C695,customers!$A$2:$A$1001,customers!$C$2:$C$1001,,,))</f>
        <v>eandriessenj9@europa.eu</v>
      </c>
      <c r="H695" s="9" t="str">
        <f>_xlfn.XLOOKUP(C695,customers!$A$2:$A$1001,customers!$G$2:$G$1001,"")</f>
        <v>United States</v>
      </c>
      <c r="I695" s="10" t="str">
        <f>INDEX(products!$A$2:$G$49,MATCH(orders!$D695,products!$A$2:$A$49,0),MATCH(orders!I$1,products!$A$1:$G$1,0))</f>
        <v>Ara</v>
      </c>
      <c r="J695" s="10" t="str">
        <f>INDEX(products!$A$2:$G$49,MATCH(orders!$D695,products!$A$2:$A$49,0),MATCH(orders!J$1,products!$A$1:$G$1,0))</f>
        <v>M</v>
      </c>
      <c r="K695" s="11">
        <f>INDEX(products!$A$2:$G$49,MATCH(orders!$D695,products!$A$2:$A$49,0),MATCH(orders!K$1,products!$A$1:$G$1,0))</f>
        <v>2.5</v>
      </c>
      <c r="L695" s="12">
        <f>INDEX(products!$A$2:$G$49,MATCH(orders!$D695,products!$A$2:$A$49,0),MATCH(orders!L$1,products!$A$1:$G$1,0))</f>
        <v>25.874999999999996</v>
      </c>
      <c r="M695" s="12">
        <f t="shared" si="30"/>
        <v>51.749999999999993</v>
      </c>
      <c r="N695" s="10" t="str">
        <f t="shared" si="31"/>
        <v>Arabica</v>
      </c>
      <c r="O695" s="10" t="str">
        <f t="shared" si="32"/>
        <v>Medium</v>
      </c>
      <c r="P695" s="10" t="str">
        <f>_xlfn.XLOOKUP(Tableau1[[#This Row],[Customer ID]],customers!A$2:A$1001,customers!I$2:I$1001)</f>
        <v>Yes</v>
      </c>
    </row>
    <row r="696" spans="1:16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9" t="str">
        <f>_xlfn.XLOOKUP(orders!C696,customers!$A$2:$A$1001,customers!$B$2:$B$1001)</f>
        <v>Roxie Deaconson</v>
      </c>
      <c r="G696" s="9" t="str">
        <f>IF(_xlfn.XLOOKUP(orders!C696,customers!$A$2:$A$1001,customers!$C$2:$C$1001,,,)=0,"",_xlfn.XLOOKUP(orders!C696,customers!$A$2:$A$1001,customers!$C$2:$C$1001,,,))</f>
        <v>rdeaconsonja@archive.org</v>
      </c>
      <c r="H696" s="9" t="str">
        <f>_xlfn.XLOOKUP(C696,customers!$A$2:$A$1001,customers!$G$2:$G$1001,"")</f>
        <v>United States</v>
      </c>
      <c r="I696" s="10" t="str">
        <f>INDEX(products!$A$2:$G$49,MATCH(orders!$D696,products!$A$2:$A$49,0),MATCH(orders!I$1,products!$A$1:$G$1,0))</f>
        <v>Exc</v>
      </c>
      <c r="J696" s="10" t="str">
        <f>INDEX(products!$A$2:$G$49,MATCH(orders!$D696,products!$A$2:$A$49,0),MATCH(orders!J$1,products!$A$1:$G$1,0))</f>
        <v>D</v>
      </c>
      <c r="K696" s="11">
        <f>INDEX(products!$A$2:$G$49,MATCH(orders!$D696,products!$A$2:$A$49,0),MATCH(orders!K$1,products!$A$1:$G$1,0))</f>
        <v>0.5</v>
      </c>
      <c r="L696" s="12">
        <f>INDEX(products!$A$2:$G$49,MATCH(orders!$D696,products!$A$2:$A$49,0),MATCH(orders!L$1,products!$A$1:$G$1,0))</f>
        <v>7.29</v>
      </c>
      <c r="M696" s="12">
        <f t="shared" si="30"/>
        <v>36.450000000000003</v>
      </c>
      <c r="N696" s="10" t="str">
        <f t="shared" si="31"/>
        <v>Excelsa</v>
      </c>
      <c r="O696" s="10" t="str">
        <f t="shared" si="32"/>
        <v>Dark</v>
      </c>
      <c r="P696" s="10" t="str">
        <f>_xlfn.XLOOKUP(Tableau1[[#This Row],[Customer ID]],customers!A$2:A$1001,customers!I$2:I$1001)</f>
        <v>No</v>
      </c>
    </row>
    <row r="697" spans="1:16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9" t="str">
        <f>_xlfn.XLOOKUP(orders!C697,customers!$A$2:$A$1001,customers!$B$2:$B$1001)</f>
        <v>Davida Caro</v>
      </c>
      <c r="G697" s="9" t="str">
        <f>IF(_xlfn.XLOOKUP(orders!C697,customers!$A$2:$A$1001,customers!$C$2:$C$1001,,,)=0,"",_xlfn.XLOOKUP(orders!C697,customers!$A$2:$A$1001,customers!$C$2:$C$1001,,,))</f>
        <v>dcarojb@twitter.com</v>
      </c>
      <c r="H697" s="9" t="str">
        <f>_xlfn.XLOOKUP(C697,customers!$A$2:$A$1001,customers!$G$2:$G$1001,"")</f>
        <v>United States</v>
      </c>
      <c r="I697" s="10" t="str">
        <f>INDEX(products!$A$2:$G$49,MATCH(orders!$D697,products!$A$2:$A$49,0),MATCH(orders!I$1,products!$A$1:$G$1,0))</f>
        <v>Lib</v>
      </c>
      <c r="J697" s="10" t="str">
        <f>INDEX(products!$A$2:$G$49,MATCH(orders!$D697,products!$A$2:$A$49,0),MATCH(orders!J$1,products!$A$1:$G$1,0))</f>
        <v>L</v>
      </c>
      <c r="K697" s="11">
        <f>INDEX(products!$A$2:$G$49,MATCH(orders!$D697,products!$A$2:$A$49,0),MATCH(orders!K$1,products!$A$1:$G$1,0))</f>
        <v>2.5</v>
      </c>
      <c r="L697" s="12">
        <f>INDEX(products!$A$2:$G$49,MATCH(orders!$D697,products!$A$2:$A$49,0),MATCH(orders!L$1,products!$A$1:$G$1,0))</f>
        <v>36.454999999999998</v>
      </c>
      <c r="M697" s="12">
        <f t="shared" si="30"/>
        <v>182.27499999999998</v>
      </c>
      <c r="N697" s="10" t="str">
        <f t="shared" si="31"/>
        <v>Liberica</v>
      </c>
      <c r="O697" s="10" t="str">
        <f t="shared" si="32"/>
        <v>Light</v>
      </c>
      <c r="P697" s="10" t="str">
        <f>_xlfn.XLOOKUP(Tableau1[[#This Row],[Customer ID]],customers!A$2:A$1001,customers!I$2:I$1001)</f>
        <v>Yes</v>
      </c>
    </row>
    <row r="698" spans="1:16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9" t="str">
        <f>_xlfn.XLOOKUP(orders!C698,customers!$A$2:$A$1001,customers!$B$2:$B$1001)</f>
        <v>Johna Bluck</v>
      </c>
      <c r="G698" s="9" t="str">
        <f>IF(_xlfn.XLOOKUP(orders!C698,customers!$A$2:$A$1001,customers!$C$2:$C$1001,,,)=0,"",_xlfn.XLOOKUP(orders!C698,customers!$A$2:$A$1001,customers!$C$2:$C$1001,,,))</f>
        <v>jbluckjc@imageshack.us</v>
      </c>
      <c r="H698" s="9" t="str">
        <f>_xlfn.XLOOKUP(C698,customers!$A$2:$A$1001,customers!$G$2:$G$1001,"")</f>
        <v>United States</v>
      </c>
      <c r="I698" s="10" t="str">
        <f>INDEX(products!$A$2:$G$49,MATCH(orders!$D698,products!$A$2:$A$49,0),MATCH(orders!I$1,products!$A$1:$G$1,0))</f>
        <v>Lib</v>
      </c>
      <c r="J698" s="10" t="str">
        <f>INDEX(products!$A$2:$G$49,MATCH(orders!$D698,products!$A$2:$A$49,0),MATCH(orders!J$1,products!$A$1:$G$1,0))</f>
        <v>D</v>
      </c>
      <c r="K698" s="11">
        <f>INDEX(products!$A$2:$G$49,MATCH(orders!$D698,products!$A$2:$A$49,0),MATCH(orders!K$1,products!$A$1:$G$1,0))</f>
        <v>0.5</v>
      </c>
      <c r="L698" s="12">
        <f>INDEX(products!$A$2:$G$49,MATCH(orders!$D698,products!$A$2:$A$49,0),MATCH(orders!L$1,products!$A$1:$G$1,0))</f>
        <v>7.77</v>
      </c>
      <c r="M698" s="12">
        <f t="shared" si="30"/>
        <v>31.08</v>
      </c>
      <c r="N698" s="10" t="str">
        <f t="shared" si="31"/>
        <v>Liberica</v>
      </c>
      <c r="O698" s="10" t="str">
        <f t="shared" si="32"/>
        <v>Dark</v>
      </c>
      <c r="P698" s="10" t="str">
        <f>_xlfn.XLOOKUP(Tableau1[[#This Row],[Customer ID]],customers!A$2:A$1001,customers!I$2:I$1001)</f>
        <v>No</v>
      </c>
    </row>
    <row r="699" spans="1:16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9" t="str">
        <f>_xlfn.XLOOKUP(orders!C699,customers!$A$2:$A$1001,customers!$B$2:$B$1001)</f>
        <v>Myrle Dearden</v>
      </c>
      <c r="G699" s="9" t="str">
        <f>IF(_xlfn.XLOOKUP(orders!C699,customers!$A$2:$A$1001,customers!$C$2:$C$1001,,,)=0,"",_xlfn.XLOOKUP(orders!C699,customers!$A$2:$A$1001,customers!$C$2:$C$1001,,,))</f>
        <v/>
      </c>
      <c r="H699" s="9" t="str">
        <f>_xlfn.XLOOKUP(C699,customers!$A$2:$A$1001,customers!$G$2:$G$1001,"")</f>
        <v>Ireland</v>
      </c>
      <c r="I699" s="10" t="str">
        <f>INDEX(products!$A$2:$G$49,MATCH(orders!$D699,products!$A$2:$A$49,0),MATCH(orders!I$1,products!$A$1:$G$1,0))</f>
        <v>Ara</v>
      </c>
      <c r="J699" s="10" t="str">
        <f>INDEX(products!$A$2:$G$49,MATCH(orders!$D699,products!$A$2:$A$49,0),MATCH(orders!J$1,products!$A$1:$G$1,0))</f>
        <v>M</v>
      </c>
      <c r="K699" s="11">
        <f>INDEX(products!$A$2:$G$49,MATCH(orders!$D699,products!$A$2:$A$49,0),MATCH(orders!K$1,products!$A$1:$G$1,0))</f>
        <v>0.5</v>
      </c>
      <c r="L699" s="12">
        <f>INDEX(products!$A$2:$G$49,MATCH(orders!$D699,products!$A$2:$A$49,0),MATCH(orders!L$1,products!$A$1:$G$1,0))</f>
        <v>6.75</v>
      </c>
      <c r="M699" s="12">
        <f t="shared" si="30"/>
        <v>20.25</v>
      </c>
      <c r="N699" s="10" t="str">
        <f t="shared" si="31"/>
        <v>Arabica</v>
      </c>
      <c r="O699" s="10" t="str">
        <f t="shared" si="32"/>
        <v>Medium</v>
      </c>
      <c r="P699" s="10" t="str">
        <f>_xlfn.XLOOKUP(Tableau1[[#This Row],[Customer ID]],customers!A$2:A$1001,customers!I$2:I$1001)</f>
        <v>No</v>
      </c>
    </row>
    <row r="700" spans="1:16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9" t="str">
        <f>_xlfn.XLOOKUP(orders!C700,customers!$A$2:$A$1001,customers!$B$2:$B$1001)</f>
        <v>Jimmy Dymoke</v>
      </c>
      <c r="G700" s="9" t="str">
        <f>IF(_xlfn.XLOOKUP(orders!C700,customers!$A$2:$A$1001,customers!$C$2:$C$1001,,,)=0,"",_xlfn.XLOOKUP(orders!C700,customers!$A$2:$A$1001,customers!$C$2:$C$1001,,,))</f>
        <v>jdymokeje@prnewswire.com</v>
      </c>
      <c r="H700" s="9" t="str">
        <f>_xlfn.XLOOKUP(C700,customers!$A$2:$A$1001,customers!$G$2:$G$1001,"")</f>
        <v>Ireland</v>
      </c>
      <c r="I700" s="10" t="str">
        <f>INDEX(products!$A$2:$G$49,MATCH(orders!$D700,products!$A$2:$A$49,0),MATCH(orders!I$1,products!$A$1:$G$1,0))</f>
        <v>Lib</v>
      </c>
      <c r="J700" s="10" t="str">
        <f>INDEX(products!$A$2:$G$49,MATCH(orders!$D700,products!$A$2:$A$49,0),MATCH(orders!J$1,products!$A$1:$G$1,0))</f>
        <v>D</v>
      </c>
      <c r="K700" s="11">
        <f>INDEX(products!$A$2:$G$49,MATCH(orders!$D700,products!$A$2:$A$49,0),MATCH(orders!K$1,products!$A$1:$G$1,0))</f>
        <v>1</v>
      </c>
      <c r="L700" s="12">
        <f>INDEX(products!$A$2:$G$49,MATCH(orders!$D700,products!$A$2:$A$49,0),MATCH(orders!L$1,products!$A$1:$G$1,0))</f>
        <v>12.95</v>
      </c>
      <c r="M700" s="12">
        <f t="shared" si="30"/>
        <v>25.9</v>
      </c>
      <c r="N700" s="10" t="str">
        <f t="shared" si="31"/>
        <v>Liberica</v>
      </c>
      <c r="O700" s="10" t="str">
        <f t="shared" si="32"/>
        <v>Dark</v>
      </c>
      <c r="P700" s="10" t="str">
        <f>_xlfn.XLOOKUP(Tableau1[[#This Row],[Customer ID]],customers!A$2:A$1001,customers!I$2:I$1001)</f>
        <v>No</v>
      </c>
    </row>
    <row r="701" spans="1:16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9" t="str">
        <f>_xlfn.XLOOKUP(orders!C701,customers!$A$2:$A$1001,customers!$B$2:$B$1001)</f>
        <v>Orland Tadman</v>
      </c>
      <c r="G701" s="9" t="str">
        <f>IF(_xlfn.XLOOKUP(orders!C701,customers!$A$2:$A$1001,customers!$C$2:$C$1001,,,)=0,"",_xlfn.XLOOKUP(orders!C701,customers!$A$2:$A$1001,customers!$C$2:$C$1001,,,))</f>
        <v>otadmanjf@ft.com</v>
      </c>
      <c r="H701" s="9" t="str">
        <f>_xlfn.XLOOKUP(C701,customers!$A$2:$A$1001,customers!$G$2:$G$1001,"")</f>
        <v>United States</v>
      </c>
      <c r="I701" s="10" t="str">
        <f>INDEX(products!$A$2:$G$49,MATCH(orders!$D701,products!$A$2:$A$49,0),MATCH(orders!I$1,products!$A$1:$G$1,0))</f>
        <v>Ara</v>
      </c>
      <c r="J701" s="10" t="str">
        <f>INDEX(products!$A$2:$G$49,MATCH(orders!$D701,products!$A$2:$A$49,0),MATCH(orders!J$1,products!$A$1:$G$1,0))</f>
        <v>D</v>
      </c>
      <c r="K701" s="11">
        <f>INDEX(products!$A$2:$G$49,MATCH(orders!$D701,products!$A$2:$A$49,0),MATCH(orders!K$1,products!$A$1:$G$1,0))</f>
        <v>0.5</v>
      </c>
      <c r="L701" s="12">
        <f>INDEX(products!$A$2:$G$49,MATCH(orders!$D701,products!$A$2:$A$49,0),MATCH(orders!L$1,products!$A$1:$G$1,0))</f>
        <v>5.97</v>
      </c>
      <c r="M701" s="12">
        <f t="shared" si="30"/>
        <v>23.88</v>
      </c>
      <c r="N701" s="10" t="str">
        <f t="shared" si="31"/>
        <v>Arabica</v>
      </c>
      <c r="O701" s="10" t="str">
        <f t="shared" si="32"/>
        <v>Dark</v>
      </c>
      <c r="P701" s="10" t="str">
        <f>_xlfn.XLOOKUP(Tableau1[[#This Row],[Customer ID]],customers!A$2:A$1001,customers!I$2:I$1001)</f>
        <v>Yes</v>
      </c>
    </row>
    <row r="702" spans="1:16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9" t="str">
        <f>_xlfn.XLOOKUP(orders!C702,customers!$A$2:$A$1001,customers!$B$2:$B$1001)</f>
        <v>Barrett Gudde</v>
      </c>
      <c r="G702" s="9" t="str">
        <f>IF(_xlfn.XLOOKUP(orders!C702,customers!$A$2:$A$1001,customers!$C$2:$C$1001,,,)=0,"",_xlfn.XLOOKUP(orders!C702,customers!$A$2:$A$1001,customers!$C$2:$C$1001,,,))</f>
        <v>bguddejg@dailymotion.com</v>
      </c>
      <c r="H702" s="9" t="str">
        <f>_xlfn.XLOOKUP(C702,customers!$A$2:$A$1001,customers!$G$2:$G$1001,"")</f>
        <v>United States</v>
      </c>
      <c r="I702" s="10" t="str">
        <f>INDEX(products!$A$2:$G$49,MATCH(orders!$D702,products!$A$2:$A$49,0),MATCH(orders!I$1,products!$A$1:$G$1,0))</f>
        <v>Lib</v>
      </c>
      <c r="J702" s="10" t="str">
        <f>INDEX(products!$A$2:$G$49,MATCH(orders!$D702,products!$A$2:$A$49,0),MATCH(orders!J$1,products!$A$1:$G$1,0))</f>
        <v>L</v>
      </c>
      <c r="K702" s="11">
        <f>INDEX(products!$A$2:$G$49,MATCH(orders!$D702,products!$A$2:$A$49,0),MATCH(orders!K$1,products!$A$1:$G$1,0))</f>
        <v>0.5</v>
      </c>
      <c r="L702" s="12">
        <f>INDEX(products!$A$2:$G$49,MATCH(orders!$D702,products!$A$2:$A$49,0),MATCH(orders!L$1,products!$A$1:$G$1,0))</f>
        <v>9.51</v>
      </c>
      <c r="M702" s="12">
        <f t="shared" si="30"/>
        <v>19.02</v>
      </c>
      <c r="N702" s="10" t="str">
        <f t="shared" si="31"/>
        <v>Liberica</v>
      </c>
      <c r="O702" s="10" t="str">
        <f t="shared" si="32"/>
        <v>Light</v>
      </c>
      <c r="P702" s="10" t="str">
        <f>_xlfn.XLOOKUP(Tableau1[[#This Row],[Customer ID]],customers!A$2:A$1001,customers!I$2:I$1001)</f>
        <v>No</v>
      </c>
    </row>
    <row r="703" spans="1:16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9" t="str">
        <f>_xlfn.XLOOKUP(orders!C703,customers!$A$2:$A$1001,customers!$B$2:$B$1001)</f>
        <v>Nathan Sictornes</v>
      </c>
      <c r="G703" s="9" t="str">
        <f>IF(_xlfn.XLOOKUP(orders!C703,customers!$A$2:$A$1001,customers!$C$2:$C$1001,,,)=0,"",_xlfn.XLOOKUP(orders!C703,customers!$A$2:$A$1001,customers!$C$2:$C$1001,,,))</f>
        <v>nsictornesjh@buzzfeed.com</v>
      </c>
      <c r="H703" s="9" t="str">
        <f>_xlfn.XLOOKUP(C703,customers!$A$2:$A$1001,customers!$G$2:$G$1001,"")</f>
        <v>Ireland</v>
      </c>
      <c r="I703" s="10" t="str">
        <f>INDEX(products!$A$2:$G$49,MATCH(orders!$D703,products!$A$2:$A$49,0),MATCH(orders!I$1,products!$A$1:$G$1,0))</f>
        <v>Ara</v>
      </c>
      <c r="J703" s="10" t="str">
        <f>INDEX(products!$A$2:$G$49,MATCH(orders!$D703,products!$A$2:$A$49,0),MATCH(orders!J$1,products!$A$1:$G$1,0))</f>
        <v>D</v>
      </c>
      <c r="K703" s="11">
        <f>INDEX(products!$A$2:$G$49,MATCH(orders!$D703,products!$A$2:$A$49,0),MATCH(orders!K$1,products!$A$1:$G$1,0))</f>
        <v>0.5</v>
      </c>
      <c r="L703" s="12">
        <f>INDEX(products!$A$2:$G$49,MATCH(orders!$D703,products!$A$2:$A$49,0),MATCH(orders!L$1,products!$A$1:$G$1,0))</f>
        <v>5.97</v>
      </c>
      <c r="M703" s="12">
        <f t="shared" si="30"/>
        <v>29.849999999999998</v>
      </c>
      <c r="N703" s="10" t="str">
        <f t="shared" si="31"/>
        <v>Arabica</v>
      </c>
      <c r="O703" s="10" t="str">
        <f t="shared" si="32"/>
        <v>Dark</v>
      </c>
      <c r="P703" s="10" t="str">
        <f>_xlfn.XLOOKUP(Tableau1[[#This Row],[Customer ID]],customers!A$2:A$1001,customers!I$2:I$1001)</f>
        <v>Yes</v>
      </c>
    </row>
    <row r="704" spans="1:16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9" t="str">
        <f>_xlfn.XLOOKUP(orders!C704,customers!$A$2:$A$1001,customers!$B$2:$B$1001)</f>
        <v>Vivyan Dunning</v>
      </c>
      <c r="G704" s="9" t="str">
        <f>IF(_xlfn.XLOOKUP(orders!C704,customers!$A$2:$A$1001,customers!$C$2:$C$1001,,,)=0,"",_xlfn.XLOOKUP(orders!C704,customers!$A$2:$A$1001,customers!$C$2:$C$1001,,,))</f>
        <v>vdunningji@independent.co.uk</v>
      </c>
      <c r="H704" s="9" t="str">
        <f>_xlfn.XLOOKUP(C704,customers!$A$2:$A$1001,customers!$G$2:$G$1001,"")</f>
        <v>United States</v>
      </c>
      <c r="I704" s="10" t="str">
        <f>INDEX(products!$A$2:$G$49,MATCH(orders!$D704,products!$A$2:$A$49,0),MATCH(orders!I$1,products!$A$1:$G$1,0))</f>
        <v>Ara</v>
      </c>
      <c r="J704" s="10" t="str">
        <f>INDEX(products!$A$2:$G$49,MATCH(orders!$D704,products!$A$2:$A$49,0),MATCH(orders!J$1,products!$A$1:$G$1,0))</f>
        <v>L</v>
      </c>
      <c r="K704" s="11">
        <f>INDEX(products!$A$2:$G$49,MATCH(orders!$D704,products!$A$2:$A$49,0),MATCH(orders!K$1,products!$A$1:$G$1,0))</f>
        <v>0.5</v>
      </c>
      <c r="L704" s="12">
        <f>INDEX(products!$A$2:$G$49,MATCH(orders!$D704,products!$A$2:$A$49,0),MATCH(orders!L$1,products!$A$1:$G$1,0))</f>
        <v>7.77</v>
      </c>
      <c r="M704" s="12">
        <f t="shared" si="30"/>
        <v>7.77</v>
      </c>
      <c r="N704" s="10" t="str">
        <f t="shared" si="31"/>
        <v>Arabica</v>
      </c>
      <c r="O704" s="10" t="str">
        <f t="shared" si="32"/>
        <v>Light</v>
      </c>
      <c r="P704" s="10" t="str">
        <f>_xlfn.XLOOKUP(Tableau1[[#This Row],[Customer ID]],customers!A$2:A$1001,customers!I$2:I$1001)</f>
        <v>Yes</v>
      </c>
    </row>
    <row r="705" spans="1:16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9" t="str">
        <f>_xlfn.XLOOKUP(orders!C705,customers!$A$2:$A$1001,customers!$B$2:$B$1001)</f>
        <v>Doralin Baison</v>
      </c>
      <c r="G705" s="9" t="str">
        <f>IF(_xlfn.XLOOKUP(orders!C705,customers!$A$2:$A$1001,customers!$C$2:$C$1001,,,)=0,"",_xlfn.XLOOKUP(orders!C705,customers!$A$2:$A$1001,customers!$C$2:$C$1001,,,))</f>
        <v/>
      </c>
      <c r="H705" s="9" t="str">
        <f>_xlfn.XLOOKUP(C705,customers!$A$2:$A$1001,customers!$G$2:$G$1001,"")</f>
        <v>Ireland</v>
      </c>
      <c r="I705" s="10" t="str">
        <f>INDEX(products!$A$2:$G$49,MATCH(orders!$D705,products!$A$2:$A$49,0),MATCH(orders!I$1,products!$A$1:$G$1,0))</f>
        <v>Lib</v>
      </c>
      <c r="J705" s="10" t="str">
        <f>INDEX(products!$A$2:$G$49,MATCH(orders!$D705,products!$A$2:$A$49,0),MATCH(orders!J$1,products!$A$1:$G$1,0))</f>
        <v>D</v>
      </c>
      <c r="K705" s="11">
        <f>INDEX(products!$A$2:$G$49,MATCH(orders!$D705,products!$A$2:$A$49,0),MATCH(orders!K$1,products!$A$1:$G$1,0))</f>
        <v>2.5</v>
      </c>
      <c r="L705" s="12">
        <f>INDEX(products!$A$2:$G$49,MATCH(orders!$D705,products!$A$2:$A$49,0),MATCH(orders!L$1,products!$A$1:$G$1,0))</f>
        <v>29.784999999999997</v>
      </c>
      <c r="M705" s="12">
        <f t="shared" si="30"/>
        <v>119.13999999999999</v>
      </c>
      <c r="N705" s="10" t="str">
        <f t="shared" si="31"/>
        <v>Liberica</v>
      </c>
      <c r="O705" s="10" t="str">
        <f t="shared" si="32"/>
        <v>Dark</v>
      </c>
      <c r="P705" s="10" t="str">
        <f>_xlfn.XLOOKUP(Tableau1[[#This Row],[Customer ID]],customers!A$2:A$1001,customers!I$2:I$1001)</f>
        <v>Yes</v>
      </c>
    </row>
    <row r="706" spans="1:16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9" t="str">
        <f>_xlfn.XLOOKUP(orders!C706,customers!$A$2:$A$1001,customers!$B$2:$B$1001)</f>
        <v>Josefina Ferens</v>
      </c>
      <c r="G706" s="9" t="str">
        <f>IF(_xlfn.XLOOKUP(orders!C706,customers!$A$2:$A$1001,customers!$C$2:$C$1001,,,)=0,"",_xlfn.XLOOKUP(orders!C706,customers!$A$2:$A$1001,customers!$C$2:$C$1001,,,))</f>
        <v/>
      </c>
      <c r="H706" s="9" t="str">
        <f>_xlfn.XLOOKUP(C706,customers!$A$2:$A$1001,customers!$G$2:$G$1001,"")</f>
        <v>United States</v>
      </c>
      <c r="I706" s="10" t="str">
        <f>INDEX(products!$A$2:$G$49,MATCH(orders!$D706,products!$A$2:$A$49,0),MATCH(orders!I$1,products!$A$1:$G$1,0))</f>
        <v>Exc</v>
      </c>
      <c r="J706" s="10" t="str">
        <f>INDEX(products!$A$2:$G$49,MATCH(orders!$D706,products!$A$2:$A$49,0),MATCH(orders!J$1,products!$A$1:$G$1,0))</f>
        <v>D</v>
      </c>
      <c r="K706" s="11">
        <f>INDEX(products!$A$2:$G$49,MATCH(orders!$D706,products!$A$2:$A$49,0),MATCH(orders!K$1,products!$A$1:$G$1,0))</f>
        <v>0.2</v>
      </c>
      <c r="L706" s="12">
        <f>INDEX(products!$A$2:$G$49,MATCH(orders!$D706,products!$A$2:$A$49,0),MATCH(orders!L$1,products!$A$1:$G$1,0))</f>
        <v>3.645</v>
      </c>
      <c r="M706" s="12">
        <f t="shared" si="30"/>
        <v>21.87</v>
      </c>
      <c r="N706" s="10" t="str">
        <f t="shared" si="31"/>
        <v>Excelsa</v>
      </c>
      <c r="O706" s="10" t="str">
        <f t="shared" si="32"/>
        <v>Dark</v>
      </c>
      <c r="P706" s="10" t="str">
        <f>_xlfn.XLOOKUP(Tableau1[[#This Row],[Customer ID]],customers!A$2:A$1001,customers!I$2:I$1001)</f>
        <v>Yes</v>
      </c>
    </row>
    <row r="707" spans="1:16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9" t="str">
        <f>_xlfn.XLOOKUP(orders!C707,customers!$A$2:$A$1001,customers!$B$2:$B$1001)</f>
        <v>Shelley Gehring</v>
      </c>
      <c r="G707" s="9" t="str">
        <f>IF(_xlfn.XLOOKUP(orders!C707,customers!$A$2:$A$1001,customers!$C$2:$C$1001,,,)=0,"",_xlfn.XLOOKUP(orders!C707,customers!$A$2:$A$1001,customers!$C$2:$C$1001,,,))</f>
        <v>sgehringjl@gnu.org</v>
      </c>
      <c r="H707" s="9" t="str">
        <f>_xlfn.XLOOKUP(C707,customers!$A$2:$A$1001,customers!$G$2:$G$1001,"")</f>
        <v>United States</v>
      </c>
      <c r="I707" s="10" t="str">
        <f>INDEX(products!$A$2:$G$49,MATCH(orders!$D707,products!$A$2:$A$49,0),MATCH(orders!I$1,products!$A$1:$G$1,0))</f>
        <v>Exc</v>
      </c>
      <c r="J707" s="10" t="str">
        <f>INDEX(products!$A$2:$G$49,MATCH(orders!$D707,products!$A$2:$A$49,0),MATCH(orders!J$1,products!$A$1:$G$1,0))</f>
        <v>L</v>
      </c>
      <c r="K707" s="11">
        <f>INDEX(products!$A$2:$G$49,MATCH(orders!$D707,products!$A$2:$A$49,0),MATCH(orders!K$1,products!$A$1:$G$1,0))</f>
        <v>0.5</v>
      </c>
      <c r="L707" s="12">
        <f>INDEX(products!$A$2:$G$49,MATCH(orders!$D707,products!$A$2:$A$49,0),MATCH(orders!L$1,products!$A$1:$G$1,0))</f>
        <v>8.91</v>
      </c>
      <c r="M707" s="12">
        <f t="shared" ref="M707:M770" si="33">L707*E707</f>
        <v>17.82</v>
      </c>
      <c r="N707" s="10" t="str">
        <f t="shared" ref="N707:N770" si="34">IF(I707="Rob","Robusta",IF(I707="Exc","Excelsa",IF(I707="Ara","Arabica",IF(I707="Lib","Liberica"))))</f>
        <v>Excelsa</v>
      </c>
      <c r="O707" s="10" t="str">
        <f t="shared" ref="O707:O770" si="35">IF(J707="M","Medium",IF(J707="L","Light",IF(J707="D","Dark")))</f>
        <v>Light</v>
      </c>
      <c r="P707" s="10" t="str">
        <f>_xlfn.XLOOKUP(Tableau1[[#This Row],[Customer ID]],customers!A$2:A$1001,customers!I$2:I$1001)</f>
        <v>No</v>
      </c>
    </row>
    <row r="708" spans="1:16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9" t="str">
        <f>_xlfn.XLOOKUP(orders!C708,customers!$A$2:$A$1001,customers!$B$2:$B$1001)</f>
        <v>Barrie Fallowes</v>
      </c>
      <c r="G708" s="9" t="str">
        <f>IF(_xlfn.XLOOKUP(orders!C708,customers!$A$2:$A$1001,customers!$C$2:$C$1001,,,)=0,"",_xlfn.XLOOKUP(orders!C708,customers!$A$2:$A$1001,customers!$C$2:$C$1001,,,))</f>
        <v>bfallowesjm@purevolume.com</v>
      </c>
      <c r="H708" s="9" t="str">
        <f>_xlfn.XLOOKUP(C708,customers!$A$2:$A$1001,customers!$G$2:$G$1001,"")</f>
        <v>United States</v>
      </c>
      <c r="I708" s="10" t="str">
        <f>INDEX(products!$A$2:$G$49,MATCH(orders!$D708,products!$A$2:$A$49,0),MATCH(orders!I$1,products!$A$1:$G$1,0))</f>
        <v>Exc</v>
      </c>
      <c r="J708" s="10" t="str">
        <f>INDEX(products!$A$2:$G$49,MATCH(orders!$D708,products!$A$2:$A$49,0),MATCH(orders!J$1,products!$A$1:$G$1,0))</f>
        <v>M</v>
      </c>
      <c r="K708" s="11">
        <f>INDEX(products!$A$2:$G$49,MATCH(orders!$D708,products!$A$2:$A$49,0),MATCH(orders!K$1,products!$A$1:$G$1,0))</f>
        <v>0.2</v>
      </c>
      <c r="L708" s="12">
        <f>INDEX(products!$A$2:$G$49,MATCH(orders!$D708,products!$A$2:$A$49,0),MATCH(orders!L$1,products!$A$1:$G$1,0))</f>
        <v>4.125</v>
      </c>
      <c r="M708" s="12">
        <f t="shared" si="33"/>
        <v>12.375</v>
      </c>
      <c r="N708" s="10" t="str">
        <f t="shared" si="34"/>
        <v>Excelsa</v>
      </c>
      <c r="O708" s="10" t="str">
        <f t="shared" si="35"/>
        <v>Medium</v>
      </c>
      <c r="P708" s="10" t="str">
        <f>_xlfn.XLOOKUP(Tableau1[[#This Row],[Customer ID]],customers!A$2:A$1001,customers!I$2:I$1001)</f>
        <v>No</v>
      </c>
    </row>
    <row r="709" spans="1:16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9" t="str">
        <f>_xlfn.XLOOKUP(orders!C709,customers!$A$2:$A$1001,customers!$B$2:$B$1001)</f>
        <v>Nicolas Aiton</v>
      </c>
      <c r="G709" s="9" t="str">
        <f>IF(_xlfn.XLOOKUP(orders!C709,customers!$A$2:$A$1001,customers!$C$2:$C$1001,,,)=0,"",_xlfn.XLOOKUP(orders!C709,customers!$A$2:$A$1001,customers!$C$2:$C$1001,,,))</f>
        <v/>
      </c>
      <c r="H709" s="9" t="str">
        <f>_xlfn.XLOOKUP(C709,customers!$A$2:$A$1001,customers!$G$2:$G$1001,"")</f>
        <v>Ireland</v>
      </c>
      <c r="I709" s="10" t="str">
        <f>INDEX(products!$A$2:$G$49,MATCH(orders!$D709,products!$A$2:$A$49,0),MATCH(orders!I$1,products!$A$1:$G$1,0))</f>
        <v>Lib</v>
      </c>
      <c r="J709" s="10" t="str">
        <f>INDEX(products!$A$2:$G$49,MATCH(orders!$D709,products!$A$2:$A$49,0),MATCH(orders!J$1,products!$A$1:$G$1,0))</f>
        <v>D</v>
      </c>
      <c r="K709" s="11">
        <f>INDEX(products!$A$2:$G$49,MATCH(orders!$D709,products!$A$2:$A$49,0),MATCH(orders!K$1,products!$A$1:$G$1,0))</f>
        <v>1</v>
      </c>
      <c r="L709" s="12">
        <f>INDEX(products!$A$2:$G$49,MATCH(orders!$D709,products!$A$2:$A$49,0),MATCH(orders!L$1,products!$A$1:$G$1,0))</f>
        <v>12.95</v>
      </c>
      <c r="M709" s="12">
        <f t="shared" si="33"/>
        <v>25.9</v>
      </c>
      <c r="N709" s="10" t="str">
        <f t="shared" si="34"/>
        <v>Liberica</v>
      </c>
      <c r="O709" s="10" t="str">
        <f t="shared" si="35"/>
        <v>Dark</v>
      </c>
      <c r="P709" s="10" t="str">
        <f>_xlfn.XLOOKUP(Tableau1[[#This Row],[Customer ID]],customers!A$2:A$1001,customers!I$2:I$1001)</f>
        <v>No</v>
      </c>
    </row>
    <row r="710" spans="1:16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9" t="str">
        <f>_xlfn.XLOOKUP(orders!C710,customers!$A$2:$A$1001,customers!$B$2:$B$1001)</f>
        <v>Shelli De Banke</v>
      </c>
      <c r="G710" s="9" t="str">
        <f>IF(_xlfn.XLOOKUP(orders!C710,customers!$A$2:$A$1001,customers!$C$2:$C$1001,,,)=0,"",_xlfn.XLOOKUP(orders!C710,customers!$A$2:$A$1001,customers!$C$2:$C$1001,,,))</f>
        <v>sdejo@newsvine.com</v>
      </c>
      <c r="H710" s="9" t="str">
        <f>_xlfn.XLOOKUP(C710,customers!$A$2:$A$1001,customers!$G$2:$G$1001,"")</f>
        <v>United States</v>
      </c>
      <c r="I710" s="10" t="str">
        <f>INDEX(products!$A$2:$G$49,MATCH(orders!$D710,products!$A$2:$A$49,0),MATCH(orders!I$1,products!$A$1:$G$1,0))</f>
        <v>Ara</v>
      </c>
      <c r="J710" s="10" t="str">
        <f>INDEX(products!$A$2:$G$49,MATCH(orders!$D710,products!$A$2:$A$49,0),MATCH(orders!J$1,products!$A$1:$G$1,0))</f>
        <v>M</v>
      </c>
      <c r="K710" s="11">
        <f>INDEX(products!$A$2:$G$49,MATCH(orders!$D710,products!$A$2:$A$49,0),MATCH(orders!K$1,products!$A$1:$G$1,0))</f>
        <v>0.5</v>
      </c>
      <c r="L710" s="12">
        <f>INDEX(products!$A$2:$G$49,MATCH(orders!$D710,products!$A$2:$A$49,0),MATCH(orders!L$1,products!$A$1:$G$1,0))</f>
        <v>6.75</v>
      </c>
      <c r="M710" s="12">
        <f t="shared" si="33"/>
        <v>13.5</v>
      </c>
      <c r="N710" s="10" t="str">
        <f t="shared" si="34"/>
        <v>Arabica</v>
      </c>
      <c r="O710" s="10" t="str">
        <f t="shared" si="35"/>
        <v>Medium</v>
      </c>
      <c r="P710" s="10" t="str">
        <f>_xlfn.XLOOKUP(Tableau1[[#This Row],[Customer ID]],customers!A$2:A$1001,customers!I$2:I$1001)</f>
        <v>Yes</v>
      </c>
    </row>
    <row r="711" spans="1:16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9" t="str">
        <f>_xlfn.XLOOKUP(orders!C711,customers!$A$2:$A$1001,customers!$B$2:$B$1001)</f>
        <v>Lyell Murch</v>
      </c>
      <c r="G711" s="9" t="str">
        <f>IF(_xlfn.XLOOKUP(orders!C711,customers!$A$2:$A$1001,customers!$C$2:$C$1001,,,)=0,"",_xlfn.XLOOKUP(orders!C711,customers!$A$2:$A$1001,customers!$C$2:$C$1001,,,))</f>
        <v/>
      </c>
      <c r="H711" s="9" t="str">
        <f>_xlfn.XLOOKUP(C711,customers!$A$2:$A$1001,customers!$G$2:$G$1001,"")</f>
        <v>United States</v>
      </c>
      <c r="I711" s="10" t="str">
        <f>INDEX(products!$A$2:$G$49,MATCH(orders!$D711,products!$A$2:$A$49,0),MATCH(orders!I$1,products!$A$1:$G$1,0))</f>
        <v>Exc</v>
      </c>
      <c r="J711" s="10" t="str">
        <f>INDEX(products!$A$2:$G$49,MATCH(orders!$D711,products!$A$2:$A$49,0),MATCH(orders!J$1,products!$A$1:$G$1,0))</f>
        <v>L</v>
      </c>
      <c r="K711" s="11">
        <f>INDEX(products!$A$2:$G$49,MATCH(orders!$D711,products!$A$2:$A$49,0),MATCH(orders!K$1,products!$A$1:$G$1,0))</f>
        <v>0.5</v>
      </c>
      <c r="L711" s="12">
        <f>INDEX(products!$A$2:$G$49,MATCH(orders!$D711,products!$A$2:$A$49,0),MATCH(orders!L$1,products!$A$1:$G$1,0))</f>
        <v>8.91</v>
      </c>
      <c r="M711" s="12">
        <f t="shared" si="33"/>
        <v>17.82</v>
      </c>
      <c r="N711" s="10" t="str">
        <f t="shared" si="34"/>
        <v>Excelsa</v>
      </c>
      <c r="O711" s="10" t="str">
        <f t="shared" si="35"/>
        <v>Light</v>
      </c>
      <c r="P711" s="10" t="str">
        <f>_xlfn.XLOOKUP(Tableau1[[#This Row],[Customer ID]],customers!A$2:A$1001,customers!I$2:I$1001)</f>
        <v>Yes</v>
      </c>
    </row>
    <row r="712" spans="1:16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9" t="str">
        <f>_xlfn.XLOOKUP(orders!C712,customers!$A$2:$A$1001,customers!$B$2:$B$1001)</f>
        <v>Stearne Count</v>
      </c>
      <c r="G712" s="9" t="str">
        <f>IF(_xlfn.XLOOKUP(orders!C712,customers!$A$2:$A$1001,customers!$C$2:$C$1001,,,)=0,"",_xlfn.XLOOKUP(orders!C712,customers!$A$2:$A$1001,customers!$C$2:$C$1001,,,))</f>
        <v>scountjq@nba.com</v>
      </c>
      <c r="H712" s="9" t="str">
        <f>_xlfn.XLOOKUP(C712,customers!$A$2:$A$1001,customers!$G$2:$G$1001,"")</f>
        <v>United States</v>
      </c>
      <c r="I712" s="10" t="str">
        <f>INDEX(products!$A$2:$G$49,MATCH(orders!$D712,products!$A$2:$A$49,0),MATCH(orders!I$1,products!$A$1:$G$1,0))</f>
        <v>Exc</v>
      </c>
      <c r="J712" s="10" t="str">
        <f>INDEX(products!$A$2:$G$49,MATCH(orders!$D712,products!$A$2:$A$49,0),MATCH(orders!J$1,products!$A$1:$G$1,0))</f>
        <v>M</v>
      </c>
      <c r="K712" s="11">
        <f>INDEX(products!$A$2:$G$49,MATCH(orders!$D712,products!$A$2:$A$49,0),MATCH(orders!K$1,products!$A$1:$G$1,0))</f>
        <v>0.5</v>
      </c>
      <c r="L712" s="12">
        <f>INDEX(products!$A$2:$G$49,MATCH(orders!$D712,products!$A$2:$A$49,0),MATCH(orders!L$1,products!$A$1:$G$1,0))</f>
        <v>8.25</v>
      </c>
      <c r="M712" s="12">
        <f t="shared" si="33"/>
        <v>24.75</v>
      </c>
      <c r="N712" s="10" t="str">
        <f t="shared" si="34"/>
        <v>Excelsa</v>
      </c>
      <c r="O712" s="10" t="str">
        <f t="shared" si="35"/>
        <v>Medium</v>
      </c>
      <c r="P712" s="10" t="str">
        <f>_xlfn.XLOOKUP(Tableau1[[#This Row],[Customer ID]],customers!A$2:A$1001,customers!I$2:I$1001)</f>
        <v>No</v>
      </c>
    </row>
    <row r="713" spans="1:16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9" t="str">
        <f>_xlfn.XLOOKUP(orders!C713,customers!$A$2:$A$1001,customers!$B$2:$B$1001)</f>
        <v>Selia Ragles</v>
      </c>
      <c r="G713" s="9" t="str">
        <f>IF(_xlfn.XLOOKUP(orders!C713,customers!$A$2:$A$1001,customers!$C$2:$C$1001,,,)=0,"",_xlfn.XLOOKUP(orders!C713,customers!$A$2:$A$1001,customers!$C$2:$C$1001,,,))</f>
        <v>sraglesjr@blogtalkradio.com</v>
      </c>
      <c r="H713" s="9" t="str">
        <f>_xlfn.XLOOKUP(C713,customers!$A$2:$A$1001,customers!$G$2:$G$1001,"")</f>
        <v>United States</v>
      </c>
      <c r="I713" s="10" t="str">
        <f>INDEX(products!$A$2:$G$49,MATCH(orders!$D713,products!$A$2:$A$49,0),MATCH(orders!I$1,products!$A$1:$G$1,0))</f>
        <v>Rob</v>
      </c>
      <c r="J713" s="10" t="str">
        <f>INDEX(products!$A$2:$G$49,MATCH(orders!$D713,products!$A$2:$A$49,0),MATCH(orders!J$1,products!$A$1:$G$1,0))</f>
        <v>M</v>
      </c>
      <c r="K713" s="11">
        <f>INDEX(products!$A$2:$G$49,MATCH(orders!$D713,products!$A$2:$A$49,0),MATCH(orders!K$1,products!$A$1:$G$1,0))</f>
        <v>0.2</v>
      </c>
      <c r="L713" s="12">
        <f>INDEX(products!$A$2:$G$49,MATCH(orders!$D713,products!$A$2:$A$49,0),MATCH(orders!L$1,products!$A$1:$G$1,0))</f>
        <v>2.9849999999999999</v>
      </c>
      <c r="M713" s="12">
        <f t="shared" si="33"/>
        <v>17.91</v>
      </c>
      <c r="N713" s="10" t="str">
        <f t="shared" si="34"/>
        <v>Robusta</v>
      </c>
      <c r="O713" s="10" t="str">
        <f t="shared" si="35"/>
        <v>Medium</v>
      </c>
      <c r="P713" s="10" t="str">
        <f>_xlfn.XLOOKUP(Tableau1[[#This Row],[Customer ID]],customers!A$2:A$1001,customers!I$2:I$1001)</f>
        <v>No</v>
      </c>
    </row>
    <row r="714" spans="1:16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9" t="str">
        <f>_xlfn.XLOOKUP(orders!C714,customers!$A$2:$A$1001,customers!$B$2:$B$1001)</f>
        <v>Silas Deehan</v>
      </c>
      <c r="G714" s="9" t="str">
        <f>IF(_xlfn.XLOOKUP(orders!C714,customers!$A$2:$A$1001,customers!$C$2:$C$1001,,,)=0,"",_xlfn.XLOOKUP(orders!C714,customers!$A$2:$A$1001,customers!$C$2:$C$1001,,,))</f>
        <v/>
      </c>
      <c r="H714" s="9" t="str">
        <f>_xlfn.XLOOKUP(C714,customers!$A$2:$A$1001,customers!$G$2:$G$1001,"")</f>
        <v>United Kingdom</v>
      </c>
      <c r="I714" s="10" t="str">
        <f>INDEX(products!$A$2:$G$49,MATCH(orders!$D714,products!$A$2:$A$49,0),MATCH(orders!I$1,products!$A$1:$G$1,0))</f>
        <v>Exc</v>
      </c>
      <c r="J714" s="10" t="str">
        <f>INDEX(products!$A$2:$G$49,MATCH(orders!$D714,products!$A$2:$A$49,0),MATCH(orders!J$1,products!$A$1:$G$1,0))</f>
        <v>M</v>
      </c>
      <c r="K714" s="11">
        <f>INDEX(products!$A$2:$G$49,MATCH(orders!$D714,products!$A$2:$A$49,0),MATCH(orders!K$1,products!$A$1:$G$1,0))</f>
        <v>0.5</v>
      </c>
      <c r="L714" s="12">
        <f>INDEX(products!$A$2:$G$49,MATCH(orders!$D714,products!$A$2:$A$49,0),MATCH(orders!L$1,products!$A$1:$G$1,0))</f>
        <v>8.25</v>
      </c>
      <c r="M714" s="12">
        <f t="shared" si="33"/>
        <v>16.5</v>
      </c>
      <c r="N714" s="10" t="str">
        <f t="shared" si="34"/>
        <v>Excelsa</v>
      </c>
      <c r="O714" s="10" t="str">
        <f t="shared" si="35"/>
        <v>Medium</v>
      </c>
      <c r="P714" s="10" t="str">
        <f>_xlfn.XLOOKUP(Tableau1[[#This Row],[Customer ID]],customers!A$2:A$1001,customers!I$2:I$1001)</f>
        <v>No</v>
      </c>
    </row>
    <row r="715" spans="1:16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9" t="str">
        <f>_xlfn.XLOOKUP(orders!C715,customers!$A$2:$A$1001,customers!$B$2:$B$1001)</f>
        <v>Sacha Bruun</v>
      </c>
      <c r="G715" s="9" t="str">
        <f>IF(_xlfn.XLOOKUP(orders!C715,customers!$A$2:$A$1001,customers!$C$2:$C$1001,,,)=0,"",_xlfn.XLOOKUP(orders!C715,customers!$A$2:$A$1001,customers!$C$2:$C$1001,,,))</f>
        <v>sbruunjt@blogtalkradio.com</v>
      </c>
      <c r="H715" s="9" t="str">
        <f>_xlfn.XLOOKUP(C715,customers!$A$2:$A$1001,customers!$G$2:$G$1001,"")</f>
        <v>United States</v>
      </c>
      <c r="I715" s="10" t="str">
        <f>INDEX(products!$A$2:$G$49,MATCH(orders!$D715,products!$A$2:$A$49,0),MATCH(orders!I$1,products!$A$1:$G$1,0))</f>
        <v>Rob</v>
      </c>
      <c r="J715" s="10" t="str">
        <f>INDEX(products!$A$2:$G$49,MATCH(orders!$D715,products!$A$2:$A$49,0),MATCH(orders!J$1,products!$A$1:$G$1,0))</f>
        <v>M</v>
      </c>
      <c r="K715" s="11">
        <f>INDEX(products!$A$2:$G$49,MATCH(orders!$D715,products!$A$2:$A$49,0),MATCH(orders!K$1,products!$A$1:$G$1,0))</f>
        <v>0.2</v>
      </c>
      <c r="L715" s="12">
        <f>INDEX(products!$A$2:$G$49,MATCH(orders!$D715,products!$A$2:$A$49,0),MATCH(orders!L$1,products!$A$1:$G$1,0))</f>
        <v>2.9849999999999999</v>
      </c>
      <c r="M715" s="12">
        <f t="shared" si="33"/>
        <v>2.9849999999999999</v>
      </c>
      <c r="N715" s="10" t="str">
        <f t="shared" si="34"/>
        <v>Robusta</v>
      </c>
      <c r="O715" s="10" t="str">
        <f t="shared" si="35"/>
        <v>Medium</v>
      </c>
      <c r="P715" s="10" t="str">
        <f>_xlfn.XLOOKUP(Tableau1[[#This Row],[Customer ID]],customers!A$2:A$1001,customers!I$2:I$1001)</f>
        <v>No</v>
      </c>
    </row>
    <row r="716" spans="1:16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9" t="str">
        <f>_xlfn.XLOOKUP(orders!C716,customers!$A$2:$A$1001,customers!$B$2:$B$1001)</f>
        <v>Alon Pllu</v>
      </c>
      <c r="G716" s="9" t="str">
        <f>IF(_xlfn.XLOOKUP(orders!C716,customers!$A$2:$A$1001,customers!$C$2:$C$1001,,,)=0,"",_xlfn.XLOOKUP(orders!C716,customers!$A$2:$A$1001,customers!$C$2:$C$1001,,,))</f>
        <v>aplluju@dagondesign.com</v>
      </c>
      <c r="H716" s="9" t="str">
        <f>_xlfn.XLOOKUP(C716,customers!$A$2:$A$1001,customers!$G$2:$G$1001,"")</f>
        <v>Ireland</v>
      </c>
      <c r="I716" s="10" t="str">
        <f>INDEX(products!$A$2:$G$49,MATCH(orders!$D716,products!$A$2:$A$49,0),MATCH(orders!I$1,products!$A$1:$G$1,0))</f>
        <v>Exc</v>
      </c>
      <c r="J716" s="10" t="str">
        <f>INDEX(products!$A$2:$G$49,MATCH(orders!$D716,products!$A$2:$A$49,0),MATCH(orders!J$1,products!$A$1:$G$1,0))</f>
        <v>D</v>
      </c>
      <c r="K716" s="11">
        <f>INDEX(products!$A$2:$G$49,MATCH(orders!$D716,products!$A$2:$A$49,0),MATCH(orders!K$1,products!$A$1:$G$1,0))</f>
        <v>0.2</v>
      </c>
      <c r="L716" s="12">
        <f>INDEX(products!$A$2:$G$49,MATCH(orders!$D716,products!$A$2:$A$49,0),MATCH(orders!L$1,products!$A$1:$G$1,0))</f>
        <v>3.645</v>
      </c>
      <c r="M716" s="12">
        <f t="shared" si="33"/>
        <v>14.58</v>
      </c>
      <c r="N716" s="10" t="str">
        <f t="shared" si="34"/>
        <v>Excelsa</v>
      </c>
      <c r="O716" s="10" t="str">
        <f t="shared" si="35"/>
        <v>Dark</v>
      </c>
      <c r="P716" s="10" t="str">
        <f>_xlfn.XLOOKUP(Tableau1[[#This Row],[Customer ID]],customers!A$2:A$1001,customers!I$2:I$1001)</f>
        <v>Yes</v>
      </c>
    </row>
    <row r="717" spans="1:16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9" t="str">
        <f>_xlfn.XLOOKUP(orders!C717,customers!$A$2:$A$1001,customers!$B$2:$B$1001)</f>
        <v>Gilberto Cornier</v>
      </c>
      <c r="G717" s="9" t="str">
        <f>IF(_xlfn.XLOOKUP(orders!C717,customers!$A$2:$A$1001,customers!$C$2:$C$1001,,,)=0,"",_xlfn.XLOOKUP(orders!C717,customers!$A$2:$A$1001,customers!$C$2:$C$1001,,,))</f>
        <v>gcornierjv@techcrunch.com</v>
      </c>
      <c r="H717" s="9" t="str">
        <f>_xlfn.XLOOKUP(C717,customers!$A$2:$A$1001,customers!$G$2:$G$1001,"")</f>
        <v>United States</v>
      </c>
      <c r="I717" s="10" t="str">
        <f>INDEX(products!$A$2:$G$49,MATCH(orders!$D717,products!$A$2:$A$49,0),MATCH(orders!I$1,products!$A$1:$G$1,0))</f>
        <v>Exc</v>
      </c>
      <c r="J717" s="10" t="str">
        <f>INDEX(products!$A$2:$G$49,MATCH(orders!$D717,products!$A$2:$A$49,0),MATCH(orders!J$1,products!$A$1:$G$1,0))</f>
        <v>L</v>
      </c>
      <c r="K717" s="11">
        <f>INDEX(products!$A$2:$G$49,MATCH(orders!$D717,products!$A$2:$A$49,0),MATCH(orders!K$1,products!$A$1:$G$1,0))</f>
        <v>1</v>
      </c>
      <c r="L717" s="12">
        <f>INDEX(products!$A$2:$G$49,MATCH(orders!$D717,products!$A$2:$A$49,0),MATCH(orders!L$1,products!$A$1:$G$1,0))</f>
        <v>14.85</v>
      </c>
      <c r="M717" s="12">
        <f t="shared" si="33"/>
        <v>89.1</v>
      </c>
      <c r="N717" s="10" t="str">
        <f t="shared" si="34"/>
        <v>Excelsa</v>
      </c>
      <c r="O717" s="10" t="str">
        <f t="shared" si="35"/>
        <v>Light</v>
      </c>
      <c r="P717" s="10" t="str">
        <f>_xlfn.XLOOKUP(Tableau1[[#This Row],[Customer ID]],customers!A$2:A$1001,customers!I$2:I$1001)</f>
        <v>No</v>
      </c>
    </row>
    <row r="718" spans="1:16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9" t="str">
        <f>_xlfn.XLOOKUP(orders!C718,customers!$A$2:$A$1001,customers!$B$2:$B$1001)</f>
        <v>Jimmy Dymoke</v>
      </c>
      <c r="G718" s="9" t="str">
        <f>IF(_xlfn.XLOOKUP(orders!C718,customers!$A$2:$A$1001,customers!$C$2:$C$1001,,,)=0,"",_xlfn.XLOOKUP(orders!C718,customers!$A$2:$A$1001,customers!$C$2:$C$1001,,,))</f>
        <v>jdymokeje@prnewswire.com</v>
      </c>
      <c r="H718" s="9" t="str">
        <f>_xlfn.XLOOKUP(C718,customers!$A$2:$A$1001,customers!$G$2:$G$1001,"")</f>
        <v>Ireland</v>
      </c>
      <c r="I718" s="10" t="str">
        <f>INDEX(products!$A$2:$G$49,MATCH(orders!$D718,products!$A$2:$A$49,0),MATCH(orders!I$1,products!$A$1:$G$1,0))</f>
        <v>Rob</v>
      </c>
      <c r="J718" s="10" t="str">
        <f>INDEX(products!$A$2:$G$49,MATCH(orders!$D718,products!$A$2:$A$49,0),MATCH(orders!J$1,products!$A$1:$G$1,0))</f>
        <v>L</v>
      </c>
      <c r="K718" s="11">
        <f>INDEX(products!$A$2:$G$49,MATCH(orders!$D718,products!$A$2:$A$49,0),MATCH(orders!K$1,products!$A$1:$G$1,0))</f>
        <v>1</v>
      </c>
      <c r="L718" s="12">
        <f>INDEX(products!$A$2:$G$49,MATCH(orders!$D718,products!$A$2:$A$49,0),MATCH(orders!L$1,products!$A$1:$G$1,0))</f>
        <v>11.95</v>
      </c>
      <c r="M718" s="12">
        <f t="shared" si="33"/>
        <v>35.849999999999994</v>
      </c>
      <c r="N718" s="10" t="str">
        <f t="shared" si="34"/>
        <v>Robusta</v>
      </c>
      <c r="O718" s="10" t="str">
        <f t="shared" si="35"/>
        <v>Light</v>
      </c>
      <c r="P718" s="10" t="str">
        <f>_xlfn.XLOOKUP(Tableau1[[#This Row],[Customer ID]],customers!A$2:A$1001,customers!I$2:I$1001)</f>
        <v>No</v>
      </c>
    </row>
    <row r="719" spans="1:16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9" t="str">
        <f>_xlfn.XLOOKUP(orders!C719,customers!$A$2:$A$1001,customers!$B$2:$B$1001)</f>
        <v>Willabella Harvison</v>
      </c>
      <c r="G719" s="9" t="str">
        <f>IF(_xlfn.XLOOKUP(orders!C719,customers!$A$2:$A$1001,customers!$C$2:$C$1001,,,)=0,"",_xlfn.XLOOKUP(orders!C719,customers!$A$2:$A$1001,customers!$C$2:$C$1001,,,))</f>
        <v>wharvisonjx@gizmodo.com</v>
      </c>
      <c r="H719" s="9" t="str">
        <f>_xlfn.XLOOKUP(C719,customers!$A$2:$A$1001,customers!$G$2:$G$1001,"")</f>
        <v>United States</v>
      </c>
      <c r="I719" s="10" t="str">
        <f>INDEX(products!$A$2:$G$49,MATCH(orders!$D719,products!$A$2:$A$49,0),MATCH(orders!I$1,products!$A$1:$G$1,0))</f>
        <v>Ara</v>
      </c>
      <c r="J719" s="10" t="str">
        <f>INDEX(products!$A$2:$G$49,MATCH(orders!$D719,products!$A$2:$A$49,0),MATCH(orders!J$1,products!$A$1:$G$1,0))</f>
        <v>D</v>
      </c>
      <c r="K719" s="11">
        <f>INDEX(products!$A$2:$G$49,MATCH(orders!$D719,products!$A$2:$A$49,0),MATCH(orders!K$1,products!$A$1:$G$1,0))</f>
        <v>2.5</v>
      </c>
      <c r="L719" s="12">
        <f>INDEX(products!$A$2:$G$49,MATCH(orders!$D719,products!$A$2:$A$49,0),MATCH(orders!L$1,products!$A$1:$G$1,0))</f>
        <v>22.884999999999998</v>
      </c>
      <c r="M719" s="12">
        <f t="shared" si="33"/>
        <v>68.655000000000001</v>
      </c>
      <c r="N719" s="10" t="str">
        <f t="shared" si="34"/>
        <v>Arabica</v>
      </c>
      <c r="O719" s="10" t="str">
        <f t="shared" si="35"/>
        <v>Dark</v>
      </c>
      <c r="P719" s="10" t="str">
        <f>_xlfn.XLOOKUP(Tableau1[[#This Row],[Customer ID]],customers!A$2:A$1001,customers!I$2:I$1001)</f>
        <v>No</v>
      </c>
    </row>
    <row r="720" spans="1:16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9" t="str">
        <f>_xlfn.XLOOKUP(orders!C720,customers!$A$2:$A$1001,customers!$B$2:$B$1001)</f>
        <v>Darice Heaford</v>
      </c>
      <c r="G720" s="9" t="str">
        <f>IF(_xlfn.XLOOKUP(orders!C720,customers!$A$2:$A$1001,customers!$C$2:$C$1001,,,)=0,"",_xlfn.XLOOKUP(orders!C720,customers!$A$2:$A$1001,customers!$C$2:$C$1001,,,))</f>
        <v>dheafordjy@twitpic.com</v>
      </c>
      <c r="H720" s="9" t="str">
        <f>_xlfn.XLOOKUP(C720,customers!$A$2:$A$1001,customers!$G$2:$G$1001,"")</f>
        <v>United States</v>
      </c>
      <c r="I720" s="10" t="str">
        <f>INDEX(products!$A$2:$G$49,MATCH(orders!$D720,products!$A$2:$A$49,0),MATCH(orders!I$1,products!$A$1:$G$1,0))</f>
        <v>Lib</v>
      </c>
      <c r="J720" s="10" t="str">
        <f>INDEX(products!$A$2:$G$49,MATCH(orders!$D720,products!$A$2:$A$49,0),MATCH(orders!J$1,products!$A$1:$G$1,0))</f>
        <v>D</v>
      </c>
      <c r="K720" s="11">
        <f>INDEX(products!$A$2:$G$49,MATCH(orders!$D720,products!$A$2:$A$49,0),MATCH(orders!K$1,products!$A$1:$G$1,0))</f>
        <v>1</v>
      </c>
      <c r="L720" s="12">
        <f>INDEX(products!$A$2:$G$49,MATCH(orders!$D720,products!$A$2:$A$49,0),MATCH(orders!L$1,products!$A$1:$G$1,0))</f>
        <v>12.95</v>
      </c>
      <c r="M720" s="12">
        <f t="shared" si="33"/>
        <v>38.849999999999994</v>
      </c>
      <c r="N720" s="10" t="str">
        <f t="shared" si="34"/>
        <v>Liberica</v>
      </c>
      <c r="O720" s="10" t="str">
        <f t="shared" si="35"/>
        <v>Dark</v>
      </c>
      <c r="P720" s="10" t="str">
        <f>_xlfn.XLOOKUP(Tableau1[[#This Row],[Customer ID]],customers!A$2:A$1001,customers!I$2:I$1001)</f>
        <v>No</v>
      </c>
    </row>
    <row r="721" spans="1:16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9" t="str">
        <f>_xlfn.XLOOKUP(orders!C721,customers!$A$2:$A$1001,customers!$B$2:$B$1001)</f>
        <v>Granger Fantham</v>
      </c>
      <c r="G721" s="9" t="str">
        <f>IF(_xlfn.XLOOKUP(orders!C721,customers!$A$2:$A$1001,customers!$C$2:$C$1001,,,)=0,"",_xlfn.XLOOKUP(orders!C721,customers!$A$2:$A$1001,customers!$C$2:$C$1001,,,))</f>
        <v>gfanthamjz@hexun.com</v>
      </c>
      <c r="H721" s="9" t="str">
        <f>_xlfn.XLOOKUP(C721,customers!$A$2:$A$1001,customers!$G$2:$G$1001,"")</f>
        <v>United States</v>
      </c>
      <c r="I721" s="10" t="str">
        <f>INDEX(products!$A$2:$G$49,MATCH(orders!$D721,products!$A$2:$A$49,0),MATCH(orders!I$1,products!$A$1:$G$1,0))</f>
        <v>Lib</v>
      </c>
      <c r="J721" s="10" t="str">
        <f>INDEX(products!$A$2:$G$49,MATCH(orders!$D721,products!$A$2:$A$49,0),MATCH(orders!J$1,products!$A$1:$G$1,0))</f>
        <v>L</v>
      </c>
      <c r="K721" s="11">
        <f>INDEX(products!$A$2:$G$49,MATCH(orders!$D721,products!$A$2:$A$49,0),MATCH(orders!K$1,products!$A$1:$G$1,0))</f>
        <v>1</v>
      </c>
      <c r="L721" s="12">
        <f>INDEX(products!$A$2:$G$49,MATCH(orders!$D721,products!$A$2:$A$49,0),MATCH(orders!L$1,products!$A$1:$G$1,0))</f>
        <v>15.85</v>
      </c>
      <c r="M721" s="12">
        <f t="shared" si="33"/>
        <v>79.25</v>
      </c>
      <c r="N721" s="10" t="str">
        <f t="shared" si="34"/>
        <v>Liberica</v>
      </c>
      <c r="O721" s="10" t="str">
        <f t="shared" si="35"/>
        <v>Light</v>
      </c>
      <c r="P721" s="10" t="str">
        <f>_xlfn.XLOOKUP(Tableau1[[#This Row],[Customer ID]],customers!A$2:A$1001,customers!I$2:I$1001)</f>
        <v>Yes</v>
      </c>
    </row>
    <row r="722" spans="1:16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9" t="str">
        <f>_xlfn.XLOOKUP(orders!C722,customers!$A$2:$A$1001,customers!$B$2:$B$1001)</f>
        <v>Reynolds Crookshanks</v>
      </c>
      <c r="G722" s="9" t="str">
        <f>IF(_xlfn.XLOOKUP(orders!C722,customers!$A$2:$A$1001,customers!$C$2:$C$1001,,,)=0,"",_xlfn.XLOOKUP(orders!C722,customers!$A$2:$A$1001,customers!$C$2:$C$1001,,,))</f>
        <v>rcrookshanksk0@unc.edu</v>
      </c>
      <c r="H722" s="9" t="str">
        <f>_xlfn.XLOOKUP(C722,customers!$A$2:$A$1001,customers!$G$2:$G$1001,"")</f>
        <v>United States</v>
      </c>
      <c r="I722" s="10" t="str">
        <f>INDEX(products!$A$2:$G$49,MATCH(orders!$D722,products!$A$2:$A$49,0),MATCH(orders!I$1,products!$A$1:$G$1,0))</f>
        <v>Exc</v>
      </c>
      <c r="J722" s="10" t="str">
        <f>INDEX(products!$A$2:$G$49,MATCH(orders!$D722,products!$A$2:$A$49,0),MATCH(orders!J$1,products!$A$1:$G$1,0))</f>
        <v>D</v>
      </c>
      <c r="K722" s="11">
        <f>INDEX(products!$A$2:$G$49,MATCH(orders!$D722,products!$A$2:$A$49,0),MATCH(orders!K$1,products!$A$1:$G$1,0))</f>
        <v>0.5</v>
      </c>
      <c r="L722" s="12">
        <f>INDEX(products!$A$2:$G$49,MATCH(orders!$D722,products!$A$2:$A$49,0),MATCH(orders!L$1,products!$A$1:$G$1,0))</f>
        <v>7.29</v>
      </c>
      <c r="M722" s="12">
        <f t="shared" si="33"/>
        <v>36.450000000000003</v>
      </c>
      <c r="N722" s="10" t="str">
        <f t="shared" si="34"/>
        <v>Excelsa</v>
      </c>
      <c r="O722" s="10" t="str">
        <f t="shared" si="35"/>
        <v>Dark</v>
      </c>
      <c r="P722" s="10" t="str">
        <f>_xlfn.XLOOKUP(Tableau1[[#This Row],[Customer ID]],customers!A$2:A$1001,customers!I$2:I$1001)</f>
        <v>Yes</v>
      </c>
    </row>
    <row r="723" spans="1:16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9" t="str">
        <f>_xlfn.XLOOKUP(orders!C723,customers!$A$2:$A$1001,customers!$B$2:$B$1001)</f>
        <v>Niels Leake</v>
      </c>
      <c r="G723" s="9" t="str">
        <f>IF(_xlfn.XLOOKUP(orders!C723,customers!$A$2:$A$1001,customers!$C$2:$C$1001,,,)=0,"",_xlfn.XLOOKUP(orders!C723,customers!$A$2:$A$1001,customers!$C$2:$C$1001,,,))</f>
        <v>nleakek1@cmu.edu</v>
      </c>
      <c r="H723" s="9" t="str">
        <f>_xlfn.XLOOKUP(C723,customers!$A$2:$A$1001,customers!$G$2:$G$1001,"")</f>
        <v>United States</v>
      </c>
      <c r="I723" s="10" t="str">
        <f>INDEX(products!$A$2:$G$49,MATCH(orders!$D723,products!$A$2:$A$49,0),MATCH(orders!I$1,products!$A$1:$G$1,0))</f>
        <v>Rob</v>
      </c>
      <c r="J723" s="10" t="str">
        <f>INDEX(products!$A$2:$G$49,MATCH(orders!$D723,products!$A$2:$A$49,0),MATCH(orders!J$1,products!$A$1:$G$1,0))</f>
        <v>M</v>
      </c>
      <c r="K723" s="11">
        <f>INDEX(products!$A$2:$G$49,MATCH(orders!$D723,products!$A$2:$A$49,0),MATCH(orders!K$1,products!$A$1:$G$1,0))</f>
        <v>0.2</v>
      </c>
      <c r="L723" s="12">
        <f>INDEX(products!$A$2:$G$49,MATCH(orders!$D723,products!$A$2:$A$49,0),MATCH(orders!L$1,products!$A$1:$G$1,0))</f>
        <v>2.9849999999999999</v>
      </c>
      <c r="M723" s="12">
        <f t="shared" si="33"/>
        <v>8.9550000000000001</v>
      </c>
      <c r="N723" s="10" t="str">
        <f t="shared" si="34"/>
        <v>Robusta</v>
      </c>
      <c r="O723" s="10" t="str">
        <f t="shared" si="35"/>
        <v>Medium</v>
      </c>
      <c r="P723" s="10" t="str">
        <f>_xlfn.XLOOKUP(Tableau1[[#This Row],[Customer ID]],customers!A$2:A$1001,customers!I$2:I$1001)</f>
        <v>Yes</v>
      </c>
    </row>
    <row r="724" spans="1:16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9" t="str">
        <f>_xlfn.XLOOKUP(orders!C724,customers!$A$2:$A$1001,customers!$B$2:$B$1001)</f>
        <v>Hetti Measures</v>
      </c>
      <c r="G724" s="9" t="str">
        <f>IF(_xlfn.XLOOKUP(orders!C724,customers!$A$2:$A$1001,customers!$C$2:$C$1001,,,)=0,"",_xlfn.XLOOKUP(orders!C724,customers!$A$2:$A$1001,customers!$C$2:$C$1001,,,))</f>
        <v/>
      </c>
      <c r="H724" s="9" t="str">
        <f>_xlfn.XLOOKUP(C724,customers!$A$2:$A$1001,customers!$G$2:$G$1001,"")</f>
        <v>United States</v>
      </c>
      <c r="I724" s="10" t="str">
        <f>INDEX(products!$A$2:$G$49,MATCH(orders!$D724,products!$A$2:$A$49,0),MATCH(orders!I$1,products!$A$1:$G$1,0))</f>
        <v>Exc</v>
      </c>
      <c r="J724" s="10" t="str">
        <f>INDEX(products!$A$2:$G$49,MATCH(orders!$D724,products!$A$2:$A$49,0),MATCH(orders!J$1,products!$A$1:$G$1,0))</f>
        <v>D</v>
      </c>
      <c r="K724" s="11">
        <f>INDEX(products!$A$2:$G$49,MATCH(orders!$D724,products!$A$2:$A$49,0),MATCH(orders!K$1,products!$A$1:$G$1,0))</f>
        <v>1</v>
      </c>
      <c r="L724" s="12">
        <f>INDEX(products!$A$2:$G$49,MATCH(orders!$D724,products!$A$2:$A$49,0),MATCH(orders!L$1,products!$A$1:$G$1,0))</f>
        <v>12.15</v>
      </c>
      <c r="M724" s="12">
        <f t="shared" si="33"/>
        <v>24.3</v>
      </c>
      <c r="N724" s="10" t="str">
        <f t="shared" si="34"/>
        <v>Excelsa</v>
      </c>
      <c r="O724" s="10" t="str">
        <f t="shared" si="35"/>
        <v>Dark</v>
      </c>
      <c r="P724" s="10" t="str">
        <f>_xlfn.XLOOKUP(Tableau1[[#This Row],[Customer ID]],customers!A$2:A$1001,customers!I$2:I$1001)</f>
        <v>No</v>
      </c>
    </row>
    <row r="725" spans="1:16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9" t="str">
        <f>_xlfn.XLOOKUP(orders!C725,customers!$A$2:$A$1001,customers!$B$2:$B$1001)</f>
        <v>Gay Eilhersen</v>
      </c>
      <c r="G725" s="9" t="str">
        <f>IF(_xlfn.XLOOKUP(orders!C725,customers!$A$2:$A$1001,customers!$C$2:$C$1001,,,)=0,"",_xlfn.XLOOKUP(orders!C725,customers!$A$2:$A$1001,customers!$C$2:$C$1001,,,))</f>
        <v>geilhersenk3@networksolutions.com</v>
      </c>
      <c r="H725" s="9" t="str">
        <f>_xlfn.XLOOKUP(C725,customers!$A$2:$A$1001,customers!$G$2:$G$1001,"")</f>
        <v>United States</v>
      </c>
      <c r="I725" s="10" t="str">
        <f>INDEX(products!$A$2:$G$49,MATCH(orders!$D725,products!$A$2:$A$49,0),MATCH(orders!I$1,products!$A$1:$G$1,0))</f>
        <v>Exc</v>
      </c>
      <c r="J725" s="10" t="str">
        <f>INDEX(products!$A$2:$G$49,MATCH(orders!$D725,products!$A$2:$A$49,0),MATCH(orders!J$1,products!$A$1:$G$1,0))</f>
        <v>M</v>
      </c>
      <c r="K725" s="11">
        <f>INDEX(products!$A$2:$G$49,MATCH(orders!$D725,products!$A$2:$A$49,0),MATCH(orders!K$1,products!$A$1:$G$1,0))</f>
        <v>2.5</v>
      </c>
      <c r="L725" s="12">
        <f>INDEX(products!$A$2:$G$49,MATCH(orders!$D725,products!$A$2:$A$49,0),MATCH(orders!L$1,products!$A$1:$G$1,0))</f>
        <v>31.624999999999996</v>
      </c>
      <c r="M725" s="12">
        <f t="shared" si="33"/>
        <v>63.249999999999993</v>
      </c>
      <c r="N725" s="10" t="str">
        <f t="shared" si="34"/>
        <v>Excelsa</v>
      </c>
      <c r="O725" s="10" t="str">
        <f t="shared" si="35"/>
        <v>Medium</v>
      </c>
      <c r="P725" s="10" t="str">
        <f>_xlfn.XLOOKUP(Tableau1[[#This Row],[Customer ID]],customers!A$2:A$1001,customers!I$2:I$1001)</f>
        <v>No</v>
      </c>
    </row>
    <row r="726" spans="1:16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9" t="str">
        <f>_xlfn.XLOOKUP(orders!C726,customers!$A$2:$A$1001,customers!$B$2:$B$1001)</f>
        <v>Nico Hubert</v>
      </c>
      <c r="G726" s="9" t="str">
        <f>IF(_xlfn.XLOOKUP(orders!C726,customers!$A$2:$A$1001,customers!$C$2:$C$1001,,,)=0,"",_xlfn.XLOOKUP(orders!C726,customers!$A$2:$A$1001,customers!$C$2:$C$1001,,,))</f>
        <v/>
      </c>
      <c r="H726" s="9" t="str">
        <f>_xlfn.XLOOKUP(C726,customers!$A$2:$A$1001,customers!$G$2:$G$1001,"")</f>
        <v>United States</v>
      </c>
      <c r="I726" s="10" t="str">
        <f>INDEX(products!$A$2:$G$49,MATCH(orders!$D726,products!$A$2:$A$49,0),MATCH(orders!I$1,products!$A$1:$G$1,0))</f>
        <v>Ara</v>
      </c>
      <c r="J726" s="10" t="str">
        <f>INDEX(products!$A$2:$G$49,MATCH(orders!$D726,products!$A$2:$A$49,0),MATCH(orders!J$1,products!$A$1:$G$1,0))</f>
        <v>M</v>
      </c>
      <c r="K726" s="11">
        <f>INDEX(products!$A$2:$G$49,MATCH(orders!$D726,products!$A$2:$A$49,0),MATCH(orders!K$1,products!$A$1:$G$1,0))</f>
        <v>0.2</v>
      </c>
      <c r="L726" s="12">
        <f>INDEX(products!$A$2:$G$49,MATCH(orders!$D726,products!$A$2:$A$49,0),MATCH(orders!L$1,products!$A$1:$G$1,0))</f>
        <v>3.375</v>
      </c>
      <c r="M726" s="12">
        <f t="shared" si="33"/>
        <v>6.75</v>
      </c>
      <c r="N726" s="10" t="str">
        <f t="shared" si="34"/>
        <v>Arabica</v>
      </c>
      <c r="O726" s="10" t="str">
        <f t="shared" si="35"/>
        <v>Medium</v>
      </c>
      <c r="P726" s="10" t="str">
        <f>_xlfn.XLOOKUP(Tableau1[[#This Row],[Customer ID]],customers!A$2:A$1001,customers!I$2:I$1001)</f>
        <v>Yes</v>
      </c>
    </row>
    <row r="727" spans="1:16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9" t="str">
        <f>_xlfn.XLOOKUP(orders!C727,customers!$A$2:$A$1001,customers!$B$2:$B$1001)</f>
        <v>Cristina Aleixo</v>
      </c>
      <c r="G727" s="9" t="str">
        <f>IF(_xlfn.XLOOKUP(orders!C727,customers!$A$2:$A$1001,customers!$C$2:$C$1001,,,)=0,"",_xlfn.XLOOKUP(orders!C727,customers!$A$2:$A$1001,customers!$C$2:$C$1001,,,))</f>
        <v>caleixok5@globo.com</v>
      </c>
      <c r="H727" s="9" t="str">
        <f>_xlfn.XLOOKUP(C727,customers!$A$2:$A$1001,customers!$G$2:$G$1001,"")</f>
        <v>United States</v>
      </c>
      <c r="I727" s="10" t="str">
        <f>INDEX(products!$A$2:$G$49,MATCH(orders!$D727,products!$A$2:$A$49,0),MATCH(orders!I$1,products!$A$1:$G$1,0))</f>
        <v>Ara</v>
      </c>
      <c r="J727" s="10" t="str">
        <f>INDEX(products!$A$2:$G$49,MATCH(orders!$D727,products!$A$2:$A$49,0),MATCH(orders!J$1,products!$A$1:$G$1,0))</f>
        <v>L</v>
      </c>
      <c r="K727" s="11">
        <f>INDEX(products!$A$2:$G$49,MATCH(orders!$D727,products!$A$2:$A$49,0),MATCH(orders!K$1,products!$A$1:$G$1,0))</f>
        <v>0.2</v>
      </c>
      <c r="L727" s="12">
        <f>INDEX(products!$A$2:$G$49,MATCH(orders!$D727,products!$A$2:$A$49,0),MATCH(orders!L$1,products!$A$1:$G$1,0))</f>
        <v>3.8849999999999998</v>
      </c>
      <c r="M727" s="12">
        <f t="shared" si="33"/>
        <v>23.31</v>
      </c>
      <c r="N727" s="10" t="str">
        <f t="shared" si="34"/>
        <v>Arabica</v>
      </c>
      <c r="O727" s="10" t="str">
        <f t="shared" si="35"/>
        <v>Light</v>
      </c>
      <c r="P727" s="10" t="str">
        <f>_xlfn.XLOOKUP(Tableau1[[#This Row],[Customer ID]],customers!A$2:A$1001,customers!I$2:I$1001)</f>
        <v>No</v>
      </c>
    </row>
    <row r="728" spans="1:16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9" t="str">
        <f>_xlfn.XLOOKUP(orders!C728,customers!$A$2:$A$1001,customers!$B$2:$B$1001)</f>
        <v>Derrek Allpress</v>
      </c>
      <c r="G728" s="9" t="str">
        <f>IF(_xlfn.XLOOKUP(orders!C728,customers!$A$2:$A$1001,customers!$C$2:$C$1001,,,)=0,"",_xlfn.XLOOKUP(orders!C728,customers!$A$2:$A$1001,customers!$C$2:$C$1001,,,))</f>
        <v/>
      </c>
      <c r="H728" s="9" t="str">
        <f>_xlfn.XLOOKUP(C728,customers!$A$2:$A$1001,customers!$G$2:$G$1001,"")</f>
        <v>United States</v>
      </c>
      <c r="I728" s="10" t="str">
        <f>INDEX(products!$A$2:$G$49,MATCH(orders!$D728,products!$A$2:$A$49,0),MATCH(orders!I$1,products!$A$1:$G$1,0))</f>
        <v>Lib</v>
      </c>
      <c r="J728" s="10" t="str">
        <f>INDEX(products!$A$2:$G$49,MATCH(orders!$D728,products!$A$2:$A$49,0),MATCH(orders!J$1,products!$A$1:$G$1,0))</f>
        <v>L</v>
      </c>
      <c r="K728" s="11">
        <f>INDEX(products!$A$2:$G$49,MATCH(orders!$D728,products!$A$2:$A$49,0),MATCH(orders!K$1,products!$A$1:$G$1,0))</f>
        <v>2.5</v>
      </c>
      <c r="L728" s="12">
        <f>INDEX(products!$A$2:$G$49,MATCH(orders!$D728,products!$A$2:$A$49,0),MATCH(orders!L$1,products!$A$1:$G$1,0))</f>
        <v>36.454999999999998</v>
      </c>
      <c r="M728" s="12">
        <f t="shared" si="33"/>
        <v>145.82</v>
      </c>
      <c r="N728" s="10" t="str">
        <f t="shared" si="34"/>
        <v>Liberica</v>
      </c>
      <c r="O728" s="10" t="str">
        <f t="shared" si="35"/>
        <v>Light</v>
      </c>
      <c r="P728" s="10" t="str">
        <f>_xlfn.XLOOKUP(Tableau1[[#This Row],[Customer ID]],customers!A$2:A$1001,customers!I$2:I$1001)</f>
        <v>No</v>
      </c>
    </row>
    <row r="729" spans="1:16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9" t="str">
        <f>_xlfn.XLOOKUP(orders!C729,customers!$A$2:$A$1001,customers!$B$2:$B$1001)</f>
        <v>Rikki Tomkowicz</v>
      </c>
      <c r="G729" s="9" t="str">
        <f>IF(_xlfn.XLOOKUP(orders!C729,customers!$A$2:$A$1001,customers!$C$2:$C$1001,,,)=0,"",_xlfn.XLOOKUP(orders!C729,customers!$A$2:$A$1001,customers!$C$2:$C$1001,,,))</f>
        <v>rtomkowiczk7@bravesites.com</v>
      </c>
      <c r="H729" s="9" t="str">
        <f>_xlfn.XLOOKUP(C729,customers!$A$2:$A$1001,customers!$G$2:$G$1001,"")</f>
        <v>Ireland</v>
      </c>
      <c r="I729" s="10" t="str">
        <f>INDEX(products!$A$2:$G$49,MATCH(orders!$D729,products!$A$2:$A$49,0),MATCH(orders!I$1,products!$A$1:$G$1,0))</f>
        <v>Rob</v>
      </c>
      <c r="J729" s="10" t="str">
        <f>INDEX(products!$A$2:$G$49,MATCH(orders!$D729,products!$A$2:$A$49,0),MATCH(orders!J$1,products!$A$1:$G$1,0))</f>
        <v>M</v>
      </c>
      <c r="K729" s="11">
        <f>INDEX(products!$A$2:$G$49,MATCH(orders!$D729,products!$A$2:$A$49,0),MATCH(orders!K$1,products!$A$1:$G$1,0))</f>
        <v>0.5</v>
      </c>
      <c r="L729" s="12">
        <f>INDEX(products!$A$2:$G$49,MATCH(orders!$D729,products!$A$2:$A$49,0),MATCH(orders!L$1,products!$A$1:$G$1,0))</f>
        <v>5.97</v>
      </c>
      <c r="M729" s="12">
        <f t="shared" si="33"/>
        <v>29.849999999999998</v>
      </c>
      <c r="N729" s="10" t="str">
        <f t="shared" si="34"/>
        <v>Robusta</v>
      </c>
      <c r="O729" s="10" t="str">
        <f t="shared" si="35"/>
        <v>Medium</v>
      </c>
      <c r="P729" s="10" t="str">
        <f>_xlfn.XLOOKUP(Tableau1[[#This Row],[Customer ID]],customers!A$2:A$1001,customers!I$2:I$1001)</f>
        <v>Yes</v>
      </c>
    </row>
    <row r="730" spans="1:16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9" t="str">
        <f>_xlfn.XLOOKUP(orders!C730,customers!$A$2:$A$1001,customers!$B$2:$B$1001)</f>
        <v>Rochette Huscroft</v>
      </c>
      <c r="G730" s="9" t="str">
        <f>IF(_xlfn.XLOOKUP(orders!C730,customers!$A$2:$A$1001,customers!$C$2:$C$1001,,,)=0,"",_xlfn.XLOOKUP(orders!C730,customers!$A$2:$A$1001,customers!$C$2:$C$1001,,,))</f>
        <v>rhuscroftk8@jimdo.com</v>
      </c>
      <c r="H730" s="9" t="str">
        <f>_xlfn.XLOOKUP(C730,customers!$A$2:$A$1001,customers!$G$2:$G$1001,"")</f>
        <v>United States</v>
      </c>
      <c r="I730" s="10" t="str">
        <f>INDEX(products!$A$2:$G$49,MATCH(orders!$D730,products!$A$2:$A$49,0),MATCH(orders!I$1,products!$A$1:$G$1,0))</f>
        <v>Exc</v>
      </c>
      <c r="J730" s="10" t="str">
        <f>INDEX(products!$A$2:$G$49,MATCH(orders!$D730,products!$A$2:$A$49,0),MATCH(orders!J$1,products!$A$1:$G$1,0))</f>
        <v>D</v>
      </c>
      <c r="K730" s="11">
        <f>INDEX(products!$A$2:$G$49,MATCH(orders!$D730,products!$A$2:$A$49,0),MATCH(orders!K$1,products!$A$1:$G$1,0))</f>
        <v>0.5</v>
      </c>
      <c r="L730" s="12">
        <f>INDEX(products!$A$2:$G$49,MATCH(orders!$D730,products!$A$2:$A$49,0),MATCH(orders!L$1,products!$A$1:$G$1,0))</f>
        <v>7.29</v>
      </c>
      <c r="M730" s="12">
        <f t="shared" si="33"/>
        <v>21.87</v>
      </c>
      <c r="N730" s="10" t="str">
        <f t="shared" si="34"/>
        <v>Excelsa</v>
      </c>
      <c r="O730" s="10" t="str">
        <f t="shared" si="35"/>
        <v>Dark</v>
      </c>
      <c r="P730" s="10" t="str">
        <f>_xlfn.XLOOKUP(Tableau1[[#This Row],[Customer ID]],customers!A$2:A$1001,customers!I$2:I$1001)</f>
        <v>Yes</v>
      </c>
    </row>
    <row r="731" spans="1:16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9" t="str">
        <f>_xlfn.XLOOKUP(orders!C731,customers!$A$2:$A$1001,customers!$B$2:$B$1001)</f>
        <v>Selle Scurrer</v>
      </c>
      <c r="G731" s="9" t="str">
        <f>IF(_xlfn.XLOOKUP(orders!C731,customers!$A$2:$A$1001,customers!$C$2:$C$1001,,,)=0,"",_xlfn.XLOOKUP(orders!C731,customers!$A$2:$A$1001,customers!$C$2:$C$1001,,,))</f>
        <v>sscurrerk9@flavors.me</v>
      </c>
      <c r="H731" s="9" t="str">
        <f>_xlfn.XLOOKUP(C731,customers!$A$2:$A$1001,customers!$G$2:$G$1001,"")</f>
        <v>United Kingdom</v>
      </c>
      <c r="I731" s="10" t="str">
        <f>INDEX(products!$A$2:$G$49,MATCH(orders!$D731,products!$A$2:$A$49,0),MATCH(orders!I$1,products!$A$1:$G$1,0))</f>
        <v>Lib</v>
      </c>
      <c r="J731" s="10" t="str">
        <f>INDEX(products!$A$2:$G$49,MATCH(orders!$D731,products!$A$2:$A$49,0),MATCH(orders!J$1,products!$A$1:$G$1,0))</f>
        <v>M</v>
      </c>
      <c r="K731" s="11">
        <f>INDEX(products!$A$2:$G$49,MATCH(orders!$D731,products!$A$2:$A$49,0),MATCH(orders!K$1,products!$A$1:$G$1,0))</f>
        <v>0.2</v>
      </c>
      <c r="L731" s="12">
        <f>INDEX(products!$A$2:$G$49,MATCH(orders!$D731,products!$A$2:$A$49,0),MATCH(orders!L$1,products!$A$1:$G$1,0))</f>
        <v>4.3650000000000002</v>
      </c>
      <c r="M731" s="12">
        <f t="shared" si="33"/>
        <v>4.3650000000000002</v>
      </c>
      <c r="N731" s="10" t="str">
        <f t="shared" si="34"/>
        <v>Liberica</v>
      </c>
      <c r="O731" s="10" t="str">
        <f t="shared" si="35"/>
        <v>Medium</v>
      </c>
      <c r="P731" s="10" t="str">
        <f>_xlfn.XLOOKUP(Tableau1[[#This Row],[Customer ID]],customers!A$2:A$1001,customers!I$2:I$1001)</f>
        <v>No</v>
      </c>
    </row>
    <row r="732" spans="1:16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9" t="str">
        <f>_xlfn.XLOOKUP(orders!C732,customers!$A$2:$A$1001,customers!$B$2:$B$1001)</f>
        <v>Andie Rudram</v>
      </c>
      <c r="G732" s="9" t="str">
        <f>IF(_xlfn.XLOOKUP(orders!C732,customers!$A$2:$A$1001,customers!$C$2:$C$1001,,,)=0,"",_xlfn.XLOOKUP(orders!C732,customers!$A$2:$A$1001,customers!$C$2:$C$1001,,,))</f>
        <v>arudramka@prnewswire.com</v>
      </c>
      <c r="H732" s="9" t="str">
        <f>_xlfn.XLOOKUP(C732,customers!$A$2:$A$1001,customers!$G$2:$G$1001,"")</f>
        <v>United States</v>
      </c>
      <c r="I732" s="10" t="str">
        <f>INDEX(products!$A$2:$G$49,MATCH(orders!$D732,products!$A$2:$A$49,0),MATCH(orders!I$1,products!$A$1:$G$1,0))</f>
        <v>Lib</v>
      </c>
      <c r="J732" s="10" t="str">
        <f>INDEX(products!$A$2:$G$49,MATCH(orders!$D732,products!$A$2:$A$49,0),MATCH(orders!J$1,products!$A$1:$G$1,0))</f>
        <v>L</v>
      </c>
      <c r="K732" s="11">
        <f>INDEX(products!$A$2:$G$49,MATCH(orders!$D732,products!$A$2:$A$49,0),MATCH(orders!K$1,products!$A$1:$G$1,0))</f>
        <v>2.5</v>
      </c>
      <c r="L732" s="12">
        <f>INDEX(products!$A$2:$G$49,MATCH(orders!$D732,products!$A$2:$A$49,0),MATCH(orders!L$1,products!$A$1:$G$1,0))</f>
        <v>36.454999999999998</v>
      </c>
      <c r="M732" s="12">
        <f t="shared" si="33"/>
        <v>36.454999999999998</v>
      </c>
      <c r="N732" s="10" t="str">
        <f t="shared" si="34"/>
        <v>Liberica</v>
      </c>
      <c r="O732" s="10" t="str">
        <f t="shared" si="35"/>
        <v>Light</v>
      </c>
      <c r="P732" s="10" t="str">
        <f>_xlfn.XLOOKUP(Tableau1[[#This Row],[Customer ID]],customers!A$2:A$1001,customers!I$2:I$1001)</f>
        <v>No</v>
      </c>
    </row>
    <row r="733" spans="1:16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9" t="str">
        <f>_xlfn.XLOOKUP(orders!C733,customers!$A$2:$A$1001,customers!$B$2:$B$1001)</f>
        <v>Leta Clarricoates</v>
      </c>
      <c r="G733" s="9" t="str">
        <f>IF(_xlfn.XLOOKUP(orders!C733,customers!$A$2:$A$1001,customers!$C$2:$C$1001,,,)=0,"",_xlfn.XLOOKUP(orders!C733,customers!$A$2:$A$1001,customers!$C$2:$C$1001,,,))</f>
        <v/>
      </c>
      <c r="H733" s="9" t="str">
        <f>_xlfn.XLOOKUP(C733,customers!$A$2:$A$1001,customers!$G$2:$G$1001,"")</f>
        <v>United States</v>
      </c>
      <c r="I733" s="10" t="str">
        <f>INDEX(products!$A$2:$G$49,MATCH(orders!$D733,products!$A$2:$A$49,0),MATCH(orders!I$1,products!$A$1:$G$1,0))</f>
        <v>Lib</v>
      </c>
      <c r="J733" s="10" t="str">
        <f>INDEX(products!$A$2:$G$49,MATCH(orders!$D733,products!$A$2:$A$49,0),MATCH(orders!J$1,products!$A$1:$G$1,0))</f>
        <v>D</v>
      </c>
      <c r="K733" s="11">
        <f>INDEX(products!$A$2:$G$49,MATCH(orders!$D733,products!$A$2:$A$49,0),MATCH(orders!K$1,products!$A$1:$G$1,0))</f>
        <v>0.2</v>
      </c>
      <c r="L733" s="12">
        <f>INDEX(products!$A$2:$G$49,MATCH(orders!$D733,products!$A$2:$A$49,0),MATCH(orders!L$1,products!$A$1:$G$1,0))</f>
        <v>3.8849999999999998</v>
      </c>
      <c r="M733" s="12">
        <f t="shared" si="33"/>
        <v>15.54</v>
      </c>
      <c r="N733" s="10" t="str">
        <f t="shared" si="34"/>
        <v>Liberica</v>
      </c>
      <c r="O733" s="10" t="str">
        <f t="shared" si="35"/>
        <v>Dark</v>
      </c>
      <c r="P733" s="10" t="str">
        <f>_xlfn.XLOOKUP(Tableau1[[#This Row],[Customer ID]],customers!A$2:A$1001,customers!I$2:I$1001)</f>
        <v>Yes</v>
      </c>
    </row>
    <row r="734" spans="1:16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9" t="str">
        <f>_xlfn.XLOOKUP(orders!C734,customers!$A$2:$A$1001,customers!$B$2:$B$1001)</f>
        <v>Jacquelyn Maha</v>
      </c>
      <c r="G734" s="9" t="str">
        <f>IF(_xlfn.XLOOKUP(orders!C734,customers!$A$2:$A$1001,customers!$C$2:$C$1001,,,)=0,"",_xlfn.XLOOKUP(orders!C734,customers!$A$2:$A$1001,customers!$C$2:$C$1001,,,))</f>
        <v>jmahakc@cyberchimps.com</v>
      </c>
      <c r="H734" s="9" t="str">
        <f>_xlfn.XLOOKUP(C734,customers!$A$2:$A$1001,customers!$G$2:$G$1001,"")</f>
        <v>United States</v>
      </c>
      <c r="I734" s="10" t="str">
        <f>INDEX(products!$A$2:$G$49,MATCH(orders!$D734,products!$A$2:$A$49,0),MATCH(orders!I$1,products!$A$1:$G$1,0))</f>
        <v>Exc</v>
      </c>
      <c r="J734" s="10" t="str">
        <f>INDEX(products!$A$2:$G$49,MATCH(orders!$D734,products!$A$2:$A$49,0),MATCH(orders!J$1,products!$A$1:$G$1,0))</f>
        <v>L</v>
      </c>
      <c r="K734" s="11">
        <f>INDEX(products!$A$2:$G$49,MATCH(orders!$D734,products!$A$2:$A$49,0),MATCH(orders!K$1,products!$A$1:$G$1,0))</f>
        <v>0.2</v>
      </c>
      <c r="L734" s="12">
        <f>INDEX(products!$A$2:$G$49,MATCH(orders!$D734,products!$A$2:$A$49,0),MATCH(orders!L$1,products!$A$1:$G$1,0))</f>
        <v>4.4550000000000001</v>
      </c>
      <c r="M734" s="12">
        <f t="shared" si="33"/>
        <v>8.91</v>
      </c>
      <c r="N734" s="10" t="str">
        <f t="shared" si="34"/>
        <v>Excelsa</v>
      </c>
      <c r="O734" s="10" t="str">
        <f t="shared" si="35"/>
        <v>Light</v>
      </c>
      <c r="P734" s="10" t="str">
        <f>_xlfn.XLOOKUP(Tableau1[[#This Row],[Customer ID]],customers!A$2:A$1001,customers!I$2:I$1001)</f>
        <v>No</v>
      </c>
    </row>
    <row r="735" spans="1:16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9" t="str">
        <f>_xlfn.XLOOKUP(orders!C735,customers!$A$2:$A$1001,customers!$B$2:$B$1001)</f>
        <v>Glory Clemon</v>
      </c>
      <c r="G735" s="9" t="str">
        <f>IF(_xlfn.XLOOKUP(orders!C735,customers!$A$2:$A$1001,customers!$C$2:$C$1001,,,)=0,"",_xlfn.XLOOKUP(orders!C735,customers!$A$2:$A$1001,customers!$C$2:$C$1001,,,))</f>
        <v>gclemonkd@networksolutions.com</v>
      </c>
      <c r="H735" s="9" t="str">
        <f>_xlfn.XLOOKUP(C735,customers!$A$2:$A$1001,customers!$G$2:$G$1001,"")</f>
        <v>United States</v>
      </c>
      <c r="I735" s="10" t="str">
        <f>INDEX(products!$A$2:$G$49,MATCH(orders!$D735,products!$A$2:$A$49,0),MATCH(orders!I$1,products!$A$1:$G$1,0))</f>
        <v>Lib</v>
      </c>
      <c r="J735" s="10" t="str">
        <f>INDEX(products!$A$2:$G$49,MATCH(orders!$D735,products!$A$2:$A$49,0),MATCH(orders!J$1,products!$A$1:$G$1,0))</f>
        <v>M</v>
      </c>
      <c r="K735" s="11">
        <f>INDEX(products!$A$2:$G$49,MATCH(orders!$D735,products!$A$2:$A$49,0),MATCH(orders!K$1,products!$A$1:$G$1,0))</f>
        <v>2.5</v>
      </c>
      <c r="L735" s="12">
        <f>INDEX(products!$A$2:$G$49,MATCH(orders!$D735,products!$A$2:$A$49,0),MATCH(orders!L$1,products!$A$1:$G$1,0))</f>
        <v>33.464999999999996</v>
      </c>
      <c r="M735" s="12">
        <f t="shared" si="33"/>
        <v>100.39499999999998</v>
      </c>
      <c r="N735" s="10" t="str">
        <f t="shared" si="34"/>
        <v>Liberica</v>
      </c>
      <c r="O735" s="10" t="str">
        <f t="shared" si="35"/>
        <v>Medium</v>
      </c>
      <c r="P735" s="10" t="str">
        <f>_xlfn.XLOOKUP(Tableau1[[#This Row],[Customer ID]],customers!A$2:A$1001,customers!I$2:I$1001)</f>
        <v>Yes</v>
      </c>
    </row>
    <row r="736" spans="1:16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9" t="str">
        <f>_xlfn.XLOOKUP(orders!C736,customers!$A$2:$A$1001,customers!$B$2:$B$1001)</f>
        <v>Alica Kift</v>
      </c>
      <c r="G736" s="9" t="str">
        <f>IF(_xlfn.XLOOKUP(orders!C736,customers!$A$2:$A$1001,customers!$C$2:$C$1001,,,)=0,"",_xlfn.XLOOKUP(orders!C736,customers!$A$2:$A$1001,customers!$C$2:$C$1001,,,))</f>
        <v/>
      </c>
      <c r="H736" s="9" t="str">
        <f>_xlfn.XLOOKUP(C736,customers!$A$2:$A$1001,customers!$G$2:$G$1001,"")</f>
        <v>United States</v>
      </c>
      <c r="I736" s="10" t="str">
        <f>INDEX(products!$A$2:$G$49,MATCH(orders!$D736,products!$A$2:$A$49,0),MATCH(orders!I$1,products!$A$1:$G$1,0))</f>
        <v>Rob</v>
      </c>
      <c r="J736" s="10" t="str">
        <f>INDEX(products!$A$2:$G$49,MATCH(orders!$D736,products!$A$2:$A$49,0),MATCH(orders!J$1,products!$A$1:$G$1,0))</f>
        <v>D</v>
      </c>
      <c r="K736" s="11">
        <f>INDEX(products!$A$2:$G$49,MATCH(orders!$D736,products!$A$2:$A$49,0),MATCH(orders!K$1,products!$A$1:$G$1,0))</f>
        <v>0.2</v>
      </c>
      <c r="L736" s="12">
        <f>INDEX(products!$A$2:$G$49,MATCH(orders!$D736,products!$A$2:$A$49,0),MATCH(orders!L$1,products!$A$1:$G$1,0))</f>
        <v>2.6849999999999996</v>
      </c>
      <c r="M736" s="12">
        <f t="shared" si="33"/>
        <v>13.424999999999997</v>
      </c>
      <c r="N736" s="10" t="str">
        <f t="shared" si="34"/>
        <v>Robusta</v>
      </c>
      <c r="O736" s="10" t="str">
        <f t="shared" si="35"/>
        <v>Dark</v>
      </c>
      <c r="P736" s="10" t="str">
        <f>_xlfn.XLOOKUP(Tableau1[[#This Row],[Customer ID]],customers!A$2:A$1001,customers!I$2:I$1001)</f>
        <v>No</v>
      </c>
    </row>
    <row r="737" spans="1:16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9" t="str">
        <f>_xlfn.XLOOKUP(orders!C737,customers!$A$2:$A$1001,customers!$B$2:$B$1001)</f>
        <v>Babb Pollins</v>
      </c>
      <c r="G737" s="9" t="str">
        <f>IF(_xlfn.XLOOKUP(orders!C737,customers!$A$2:$A$1001,customers!$C$2:$C$1001,,,)=0,"",_xlfn.XLOOKUP(orders!C737,customers!$A$2:$A$1001,customers!$C$2:$C$1001,,,))</f>
        <v>bpollinskf@shinystat.com</v>
      </c>
      <c r="H737" s="9" t="str">
        <f>_xlfn.XLOOKUP(C737,customers!$A$2:$A$1001,customers!$G$2:$G$1001,"")</f>
        <v>United States</v>
      </c>
      <c r="I737" s="10" t="str">
        <f>INDEX(products!$A$2:$G$49,MATCH(orders!$D737,products!$A$2:$A$49,0),MATCH(orders!I$1,products!$A$1:$G$1,0))</f>
        <v>Exc</v>
      </c>
      <c r="J737" s="10" t="str">
        <f>INDEX(products!$A$2:$G$49,MATCH(orders!$D737,products!$A$2:$A$49,0),MATCH(orders!J$1,products!$A$1:$G$1,0))</f>
        <v>D</v>
      </c>
      <c r="K737" s="11">
        <f>INDEX(products!$A$2:$G$49,MATCH(orders!$D737,products!$A$2:$A$49,0),MATCH(orders!K$1,products!$A$1:$G$1,0))</f>
        <v>0.2</v>
      </c>
      <c r="L737" s="12">
        <f>INDEX(products!$A$2:$G$49,MATCH(orders!$D737,products!$A$2:$A$49,0),MATCH(orders!L$1,products!$A$1:$G$1,0))</f>
        <v>3.645</v>
      </c>
      <c r="M737" s="12">
        <f t="shared" si="33"/>
        <v>21.87</v>
      </c>
      <c r="N737" s="10" t="str">
        <f t="shared" si="34"/>
        <v>Excelsa</v>
      </c>
      <c r="O737" s="10" t="str">
        <f t="shared" si="35"/>
        <v>Dark</v>
      </c>
      <c r="P737" s="10" t="str">
        <f>_xlfn.XLOOKUP(Tableau1[[#This Row],[Customer ID]],customers!A$2:A$1001,customers!I$2:I$1001)</f>
        <v>No</v>
      </c>
    </row>
    <row r="738" spans="1:16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9" t="str">
        <f>_xlfn.XLOOKUP(orders!C738,customers!$A$2:$A$1001,customers!$B$2:$B$1001)</f>
        <v>Jarret Toye</v>
      </c>
      <c r="G738" s="9" t="str">
        <f>IF(_xlfn.XLOOKUP(orders!C738,customers!$A$2:$A$1001,customers!$C$2:$C$1001,,,)=0,"",_xlfn.XLOOKUP(orders!C738,customers!$A$2:$A$1001,customers!$C$2:$C$1001,,,))</f>
        <v>jtoyekg@pinterest.com</v>
      </c>
      <c r="H738" s="9" t="str">
        <f>_xlfn.XLOOKUP(C738,customers!$A$2:$A$1001,customers!$G$2:$G$1001,"")</f>
        <v>Ireland</v>
      </c>
      <c r="I738" s="10" t="str">
        <f>INDEX(products!$A$2:$G$49,MATCH(orders!$D738,products!$A$2:$A$49,0),MATCH(orders!I$1,products!$A$1:$G$1,0))</f>
        <v>Lib</v>
      </c>
      <c r="J738" s="10" t="str">
        <f>INDEX(products!$A$2:$G$49,MATCH(orders!$D738,products!$A$2:$A$49,0),MATCH(orders!J$1,products!$A$1:$G$1,0))</f>
        <v>D</v>
      </c>
      <c r="K738" s="11">
        <f>INDEX(products!$A$2:$G$49,MATCH(orders!$D738,products!$A$2:$A$49,0),MATCH(orders!K$1,products!$A$1:$G$1,0))</f>
        <v>1</v>
      </c>
      <c r="L738" s="12">
        <f>INDEX(products!$A$2:$G$49,MATCH(orders!$D738,products!$A$2:$A$49,0),MATCH(orders!L$1,products!$A$1:$G$1,0))</f>
        <v>12.95</v>
      </c>
      <c r="M738" s="12">
        <f t="shared" si="33"/>
        <v>25.9</v>
      </c>
      <c r="N738" s="10" t="str">
        <f t="shared" si="34"/>
        <v>Liberica</v>
      </c>
      <c r="O738" s="10" t="str">
        <f t="shared" si="35"/>
        <v>Dark</v>
      </c>
      <c r="P738" s="10" t="str">
        <f>_xlfn.XLOOKUP(Tableau1[[#This Row],[Customer ID]],customers!A$2:A$1001,customers!I$2:I$1001)</f>
        <v>Yes</v>
      </c>
    </row>
    <row r="739" spans="1:16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9" t="str">
        <f>_xlfn.XLOOKUP(orders!C739,customers!$A$2:$A$1001,customers!$B$2:$B$1001)</f>
        <v>Carlie Linskill</v>
      </c>
      <c r="G739" s="9" t="str">
        <f>IF(_xlfn.XLOOKUP(orders!C739,customers!$A$2:$A$1001,customers!$C$2:$C$1001,,,)=0,"",_xlfn.XLOOKUP(orders!C739,customers!$A$2:$A$1001,customers!$C$2:$C$1001,,,))</f>
        <v>clinskillkh@sphinn.com</v>
      </c>
      <c r="H739" s="9" t="str">
        <f>_xlfn.XLOOKUP(C739,customers!$A$2:$A$1001,customers!$G$2:$G$1001,"")</f>
        <v>United States</v>
      </c>
      <c r="I739" s="10" t="str">
        <f>INDEX(products!$A$2:$G$49,MATCH(orders!$D739,products!$A$2:$A$49,0),MATCH(orders!I$1,products!$A$1:$G$1,0))</f>
        <v>Ara</v>
      </c>
      <c r="J739" s="10" t="str">
        <f>INDEX(products!$A$2:$G$49,MATCH(orders!$D739,products!$A$2:$A$49,0),MATCH(orders!J$1,products!$A$1:$G$1,0))</f>
        <v>M</v>
      </c>
      <c r="K739" s="11">
        <f>INDEX(products!$A$2:$G$49,MATCH(orders!$D739,products!$A$2:$A$49,0),MATCH(orders!K$1,products!$A$1:$G$1,0))</f>
        <v>1</v>
      </c>
      <c r="L739" s="12">
        <f>INDEX(products!$A$2:$G$49,MATCH(orders!$D739,products!$A$2:$A$49,0),MATCH(orders!L$1,products!$A$1:$G$1,0))</f>
        <v>11.25</v>
      </c>
      <c r="M739" s="12">
        <f t="shared" si="33"/>
        <v>56.25</v>
      </c>
      <c r="N739" s="10" t="str">
        <f t="shared" si="34"/>
        <v>Arabica</v>
      </c>
      <c r="O739" s="10" t="str">
        <f t="shared" si="35"/>
        <v>Medium</v>
      </c>
      <c r="P739" s="10" t="str">
        <f>_xlfn.XLOOKUP(Tableau1[[#This Row],[Customer ID]],customers!A$2:A$1001,customers!I$2:I$1001)</f>
        <v>No</v>
      </c>
    </row>
    <row r="740" spans="1:16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9" t="str">
        <f>_xlfn.XLOOKUP(orders!C740,customers!$A$2:$A$1001,customers!$B$2:$B$1001)</f>
        <v>Natal Vigrass</v>
      </c>
      <c r="G740" s="9" t="str">
        <f>IF(_xlfn.XLOOKUP(orders!C740,customers!$A$2:$A$1001,customers!$C$2:$C$1001,,,)=0,"",_xlfn.XLOOKUP(orders!C740,customers!$A$2:$A$1001,customers!$C$2:$C$1001,,,))</f>
        <v>nvigrasski@ezinearticles.com</v>
      </c>
      <c r="H740" s="9" t="str">
        <f>_xlfn.XLOOKUP(C740,customers!$A$2:$A$1001,customers!$G$2:$G$1001,"")</f>
        <v>United Kingdom</v>
      </c>
      <c r="I740" s="10" t="str">
        <f>INDEX(products!$A$2:$G$49,MATCH(orders!$D740,products!$A$2:$A$49,0),MATCH(orders!I$1,products!$A$1:$G$1,0))</f>
        <v>Rob</v>
      </c>
      <c r="J740" s="10" t="str">
        <f>INDEX(products!$A$2:$G$49,MATCH(orders!$D740,products!$A$2:$A$49,0),MATCH(orders!J$1,products!$A$1:$G$1,0))</f>
        <v>L</v>
      </c>
      <c r="K740" s="11">
        <f>INDEX(products!$A$2:$G$49,MATCH(orders!$D740,products!$A$2:$A$49,0),MATCH(orders!K$1,products!$A$1:$G$1,0))</f>
        <v>0.2</v>
      </c>
      <c r="L740" s="12">
        <f>INDEX(products!$A$2:$G$49,MATCH(orders!$D740,products!$A$2:$A$49,0),MATCH(orders!L$1,products!$A$1:$G$1,0))</f>
        <v>3.5849999999999995</v>
      </c>
      <c r="M740" s="12">
        <f t="shared" si="33"/>
        <v>10.754999999999999</v>
      </c>
      <c r="N740" s="10" t="str">
        <f t="shared" si="34"/>
        <v>Robusta</v>
      </c>
      <c r="O740" s="10" t="str">
        <f t="shared" si="35"/>
        <v>Light</v>
      </c>
      <c r="P740" s="10" t="str">
        <f>_xlfn.XLOOKUP(Tableau1[[#This Row],[Customer ID]],customers!A$2:A$1001,customers!I$2:I$1001)</f>
        <v>No</v>
      </c>
    </row>
    <row r="741" spans="1:16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9" t="str">
        <f>_xlfn.XLOOKUP(orders!C741,customers!$A$2:$A$1001,customers!$B$2:$B$1001)</f>
        <v>Jimmy Dymoke</v>
      </c>
      <c r="G741" s="9" t="str">
        <f>IF(_xlfn.XLOOKUP(orders!C741,customers!$A$2:$A$1001,customers!$C$2:$C$1001,,,)=0,"",_xlfn.XLOOKUP(orders!C741,customers!$A$2:$A$1001,customers!$C$2:$C$1001,,,))</f>
        <v>jdymokeje@prnewswire.com</v>
      </c>
      <c r="H741" s="9" t="str">
        <f>_xlfn.XLOOKUP(C741,customers!$A$2:$A$1001,customers!$G$2:$G$1001,"")</f>
        <v>Ireland</v>
      </c>
      <c r="I741" s="10" t="str">
        <f>INDEX(products!$A$2:$G$49,MATCH(orders!$D741,products!$A$2:$A$49,0),MATCH(orders!I$1,products!$A$1:$G$1,0))</f>
        <v>Exc</v>
      </c>
      <c r="J741" s="10" t="str">
        <f>INDEX(products!$A$2:$G$49,MATCH(orders!$D741,products!$A$2:$A$49,0),MATCH(orders!J$1,products!$A$1:$G$1,0))</f>
        <v>D</v>
      </c>
      <c r="K741" s="11">
        <f>INDEX(products!$A$2:$G$49,MATCH(orders!$D741,products!$A$2:$A$49,0),MATCH(orders!K$1,products!$A$1:$G$1,0))</f>
        <v>0.2</v>
      </c>
      <c r="L741" s="12">
        <f>INDEX(products!$A$2:$G$49,MATCH(orders!$D741,products!$A$2:$A$49,0),MATCH(orders!L$1,products!$A$1:$G$1,0))</f>
        <v>3.645</v>
      </c>
      <c r="M741" s="12">
        <f t="shared" si="33"/>
        <v>18.225000000000001</v>
      </c>
      <c r="N741" s="10" t="str">
        <f t="shared" si="34"/>
        <v>Excelsa</v>
      </c>
      <c r="O741" s="10" t="str">
        <f t="shared" si="35"/>
        <v>Dark</v>
      </c>
      <c r="P741" s="10" t="str">
        <f>_xlfn.XLOOKUP(Tableau1[[#This Row],[Customer ID]],customers!A$2:A$1001,customers!I$2:I$1001)</f>
        <v>No</v>
      </c>
    </row>
    <row r="742" spans="1:16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9" t="str">
        <f>_xlfn.XLOOKUP(orders!C742,customers!$A$2:$A$1001,customers!$B$2:$B$1001)</f>
        <v>Kandace Cragell</v>
      </c>
      <c r="G742" s="9" t="str">
        <f>IF(_xlfn.XLOOKUP(orders!C742,customers!$A$2:$A$1001,customers!$C$2:$C$1001,,,)=0,"",_xlfn.XLOOKUP(orders!C742,customers!$A$2:$A$1001,customers!$C$2:$C$1001,,,))</f>
        <v>kcragellkk@google.com</v>
      </c>
      <c r="H742" s="9" t="str">
        <f>_xlfn.XLOOKUP(C742,customers!$A$2:$A$1001,customers!$G$2:$G$1001,"")</f>
        <v>Ireland</v>
      </c>
      <c r="I742" s="10" t="str">
        <f>INDEX(products!$A$2:$G$49,MATCH(orders!$D742,products!$A$2:$A$49,0),MATCH(orders!I$1,products!$A$1:$G$1,0))</f>
        <v>Rob</v>
      </c>
      <c r="J742" s="10" t="str">
        <f>INDEX(products!$A$2:$G$49,MATCH(orders!$D742,products!$A$2:$A$49,0),MATCH(orders!J$1,products!$A$1:$G$1,0))</f>
        <v>L</v>
      </c>
      <c r="K742" s="11">
        <f>INDEX(products!$A$2:$G$49,MATCH(orders!$D742,products!$A$2:$A$49,0),MATCH(orders!K$1,products!$A$1:$G$1,0))</f>
        <v>0.5</v>
      </c>
      <c r="L742" s="12">
        <f>INDEX(products!$A$2:$G$49,MATCH(orders!$D742,products!$A$2:$A$49,0),MATCH(orders!L$1,products!$A$1:$G$1,0))</f>
        <v>7.169999999999999</v>
      </c>
      <c r="M742" s="12">
        <f t="shared" si="33"/>
        <v>28.679999999999996</v>
      </c>
      <c r="N742" s="10" t="str">
        <f t="shared" si="34"/>
        <v>Robusta</v>
      </c>
      <c r="O742" s="10" t="str">
        <f t="shared" si="35"/>
        <v>Light</v>
      </c>
      <c r="P742" s="10" t="str">
        <f>_xlfn.XLOOKUP(Tableau1[[#This Row],[Customer ID]],customers!A$2:A$1001,customers!I$2:I$1001)</f>
        <v>No</v>
      </c>
    </row>
    <row r="743" spans="1:16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9" t="str">
        <f>_xlfn.XLOOKUP(orders!C743,customers!$A$2:$A$1001,customers!$B$2:$B$1001)</f>
        <v>Lyon Ibert</v>
      </c>
      <c r="G743" s="9" t="str">
        <f>IF(_xlfn.XLOOKUP(orders!C743,customers!$A$2:$A$1001,customers!$C$2:$C$1001,,,)=0,"",_xlfn.XLOOKUP(orders!C743,customers!$A$2:$A$1001,customers!$C$2:$C$1001,,,))</f>
        <v>libertkl@huffingtonpost.com</v>
      </c>
      <c r="H743" s="9" t="str">
        <f>_xlfn.XLOOKUP(C743,customers!$A$2:$A$1001,customers!$G$2:$G$1001,"")</f>
        <v>United States</v>
      </c>
      <c r="I743" s="10" t="str">
        <f>INDEX(products!$A$2:$G$49,MATCH(orders!$D743,products!$A$2:$A$49,0),MATCH(orders!I$1,products!$A$1:$G$1,0))</f>
        <v>Lib</v>
      </c>
      <c r="J743" s="10" t="str">
        <f>INDEX(products!$A$2:$G$49,MATCH(orders!$D743,products!$A$2:$A$49,0),MATCH(orders!J$1,products!$A$1:$G$1,0))</f>
        <v>M</v>
      </c>
      <c r="K743" s="11">
        <f>INDEX(products!$A$2:$G$49,MATCH(orders!$D743,products!$A$2:$A$49,0),MATCH(orders!K$1,products!$A$1:$G$1,0))</f>
        <v>0.2</v>
      </c>
      <c r="L743" s="12">
        <f>INDEX(products!$A$2:$G$49,MATCH(orders!$D743,products!$A$2:$A$49,0),MATCH(orders!L$1,products!$A$1:$G$1,0))</f>
        <v>4.3650000000000002</v>
      </c>
      <c r="M743" s="12">
        <f t="shared" si="33"/>
        <v>8.73</v>
      </c>
      <c r="N743" s="10" t="str">
        <f t="shared" si="34"/>
        <v>Liberica</v>
      </c>
      <c r="O743" s="10" t="str">
        <f t="shared" si="35"/>
        <v>Medium</v>
      </c>
      <c r="P743" s="10" t="str">
        <f>_xlfn.XLOOKUP(Tableau1[[#This Row],[Customer ID]],customers!A$2:A$1001,customers!I$2:I$1001)</f>
        <v>No</v>
      </c>
    </row>
    <row r="744" spans="1:16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9" t="str">
        <f>_xlfn.XLOOKUP(orders!C744,customers!$A$2:$A$1001,customers!$B$2:$B$1001)</f>
        <v>Reese Lidgey</v>
      </c>
      <c r="G744" s="9" t="str">
        <f>IF(_xlfn.XLOOKUP(orders!C744,customers!$A$2:$A$1001,customers!$C$2:$C$1001,,,)=0,"",_xlfn.XLOOKUP(orders!C744,customers!$A$2:$A$1001,customers!$C$2:$C$1001,,,))</f>
        <v>rlidgeykm@vimeo.com</v>
      </c>
      <c r="H744" s="9" t="str">
        <f>_xlfn.XLOOKUP(C744,customers!$A$2:$A$1001,customers!$G$2:$G$1001,"")</f>
        <v>United States</v>
      </c>
      <c r="I744" s="10" t="str">
        <f>INDEX(products!$A$2:$G$49,MATCH(orders!$D744,products!$A$2:$A$49,0),MATCH(orders!I$1,products!$A$1:$G$1,0))</f>
        <v>Lib</v>
      </c>
      <c r="J744" s="10" t="str">
        <f>INDEX(products!$A$2:$G$49,MATCH(orders!$D744,products!$A$2:$A$49,0),MATCH(orders!J$1,products!$A$1:$G$1,0))</f>
        <v>M</v>
      </c>
      <c r="K744" s="11">
        <f>INDEX(products!$A$2:$G$49,MATCH(orders!$D744,products!$A$2:$A$49,0),MATCH(orders!K$1,products!$A$1:$G$1,0))</f>
        <v>1</v>
      </c>
      <c r="L744" s="12">
        <f>INDEX(products!$A$2:$G$49,MATCH(orders!$D744,products!$A$2:$A$49,0),MATCH(orders!L$1,products!$A$1:$G$1,0))</f>
        <v>14.55</v>
      </c>
      <c r="M744" s="12">
        <f t="shared" si="33"/>
        <v>58.2</v>
      </c>
      <c r="N744" s="10" t="str">
        <f t="shared" si="34"/>
        <v>Liberica</v>
      </c>
      <c r="O744" s="10" t="str">
        <f t="shared" si="35"/>
        <v>Medium</v>
      </c>
      <c r="P744" s="10" t="str">
        <f>_xlfn.XLOOKUP(Tableau1[[#This Row],[Customer ID]],customers!A$2:A$1001,customers!I$2:I$1001)</f>
        <v>No</v>
      </c>
    </row>
    <row r="745" spans="1:16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9" t="str">
        <f>_xlfn.XLOOKUP(orders!C745,customers!$A$2:$A$1001,customers!$B$2:$B$1001)</f>
        <v>Tersina Castagne</v>
      </c>
      <c r="G745" s="9" t="str">
        <f>IF(_xlfn.XLOOKUP(orders!C745,customers!$A$2:$A$1001,customers!$C$2:$C$1001,,,)=0,"",_xlfn.XLOOKUP(orders!C745,customers!$A$2:$A$1001,customers!$C$2:$C$1001,,,))</f>
        <v>tcastagnekn@wikia.com</v>
      </c>
      <c r="H745" s="9" t="str">
        <f>_xlfn.XLOOKUP(C745,customers!$A$2:$A$1001,customers!$G$2:$G$1001,"")</f>
        <v>United States</v>
      </c>
      <c r="I745" s="10" t="str">
        <f>INDEX(products!$A$2:$G$49,MATCH(orders!$D745,products!$A$2:$A$49,0),MATCH(orders!I$1,products!$A$1:$G$1,0))</f>
        <v>Ara</v>
      </c>
      <c r="J745" s="10" t="str">
        <f>INDEX(products!$A$2:$G$49,MATCH(orders!$D745,products!$A$2:$A$49,0),MATCH(orders!J$1,products!$A$1:$G$1,0))</f>
        <v>D</v>
      </c>
      <c r="K745" s="11">
        <f>INDEX(products!$A$2:$G$49,MATCH(orders!$D745,products!$A$2:$A$49,0),MATCH(orders!K$1,products!$A$1:$G$1,0))</f>
        <v>0.5</v>
      </c>
      <c r="L745" s="12">
        <f>INDEX(products!$A$2:$G$49,MATCH(orders!$D745,products!$A$2:$A$49,0),MATCH(orders!L$1,products!$A$1:$G$1,0))</f>
        <v>5.97</v>
      </c>
      <c r="M745" s="12">
        <f t="shared" si="33"/>
        <v>17.91</v>
      </c>
      <c r="N745" s="10" t="str">
        <f t="shared" si="34"/>
        <v>Arabica</v>
      </c>
      <c r="O745" s="10" t="str">
        <f t="shared" si="35"/>
        <v>Dark</v>
      </c>
      <c r="P745" s="10" t="str">
        <f>_xlfn.XLOOKUP(Tableau1[[#This Row],[Customer ID]],customers!A$2:A$1001,customers!I$2:I$1001)</f>
        <v>No</v>
      </c>
    </row>
    <row r="746" spans="1:16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9" t="str">
        <f>_xlfn.XLOOKUP(orders!C746,customers!$A$2:$A$1001,customers!$B$2:$B$1001)</f>
        <v>Samuele Klaaassen</v>
      </c>
      <c r="G746" s="9" t="str">
        <f>IF(_xlfn.XLOOKUP(orders!C746,customers!$A$2:$A$1001,customers!$C$2:$C$1001,,,)=0,"",_xlfn.XLOOKUP(orders!C746,customers!$A$2:$A$1001,customers!$C$2:$C$1001,,,))</f>
        <v/>
      </c>
      <c r="H746" s="9" t="str">
        <f>_xlfn.XLOOKUP(C746,customers!$A$2:$A$1001,customers!$G$2:$G$1001,"")</f>
        <v>United States</v>
      </c>
      <c r="I746" s="10" t="str">
        <f>INDEX(products!$A$2:$G$49,MATCH(orders!$D746,products!$A$2:$A$49,0),MATCH(orders!I$1,products!$A$1:$G$1,0))</f>
        <v>Rob</v>
      </c>
      <c r="J746" s="10" t="str">
        <f>INDEX(products!$A$2:$G$49,MATCH(orders!$D746,products!$A$2:$A$49,0),MATCH(orders!J$1,products!$A$1:$G$1,0))</f>
        <v>M</v>
      </c>
      <c r="K746" s="11">
        <f>INDEX(products!$A$2:$G$49,MATCH(orders!$D746,products!$A$2:$A$49,0),MATCH(orders!K$1,products!$A$1:$G$1,0))</f>
        <v>0.2</v>
      </c>
      <c r="L746" s="12">
        <f>INDEX(products!$A$2:$G$49,MATCH(orders!$D746,products!$A$2:$A$49,0),MATCH(orders!L$1,products!$A$1:$G$1,0))</f>
        <v>2.9849999999999999</v>
      </c>
      <c r="M746" s="12">
        <f t="shared" si="33"/>
        <v>17.91</v>
      </c>
      <c r="N746" s="10" t="str">
        <f t="shared" si="34"/>
        <v>Robusta</v>
      </c>
      <c r="O746" s="10" t="str">
        <f t="shared" si="35"/>
        <v>Medium</v>
      </c>
      <c r="P746" s="10" t="str">
        <f>_xlfn.XLOOKUP(Tableau1[[#This Row],[Customer ID]],customers!A$2:A$1001,customers!I$2:I$1001)</f>
        <v>Yes</v>
      </c>
    </row>
    <row r="747" spans="1:16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9" t="str">
        <f>_xlfn.XLOOKUP(orders!C747,customers!$A$2:$A$1001,customers!$B$2:$B$1001)</f>
        <v>Jordana Halden</v>
      </c>
      <c r="G747" s="9" t="str">
        <f>IF(_xlfn.XLOOKUP(orders!C747,customers!$A$2:$A$1001,customers!$C$2:$C$1001,,,)=0,"",_xlfn.XLOOKUP(orders!C747,customers!$A$2:$A$1001,customers!$C$2:$C$1001,,,))</f>
        <v>jhaldenkp@comcast.net</v>
      </c>
      <c r="H747" s="9" t="str">
        <f>_xlfn.XLOOKUP(C747,customers!$A$2:$A$1001,customers!$G$2:$G$1001,"")</f>
        <v>Ireland</v>
      </c>
      <c r="I747" s="10" t="str">
        <f>INDEX(products!$A$2:$G$49,MATCH(orders!$D747,products!$A$2:$A$49,0),MATCH(orders!I$1,products!$A$1:$G$1,0))</f>
        <v>Exc</v>
      </c>
      <c r="J747" s="10" t="str">
        <f>INDEX(products!$A$2:$G$49,MATCH(orders!$D747,products!$A$2:$A$49,0),MATCH(orders!J$1,products!$A$1:$G$1,0))</f>
        <v>D</v>
      </c>
      <c r="K747" s="11">
        <f>INDEX(products!$A$2:$G$49,MATCH(orders!$D747,products!$A$2:$A$49,0),MATCH(orders!K$1,products!$A$1:$G$1,0))</f>
        <v>0.5</v>
      </c>
      <c r="L747" s="12">
        <f>INDEX(products!$A$2:$G$49,MATCH(orders!$D747,products!$A$2:$A$49,0),MATCH(orders!L$1,products!$A$1:$G$1,0))</f>
        <v>7.29</v>
      </c>
      <c r="M747" s="12">
        <f t="shared" si="33"/>
        <v>14.58</v>
      </c>
      <c r="N747" s="10" t="str">
        <f t="shared" si="34"/>
        <v>Excelsa</v>
      </c>
      <c r="O747" s="10" t="str">
        <f t="shared" si="35"/>
        <v>Dark</v>
      </c>
      <c r="P747" s="10" t="str">
        <f>_xlfn.XLOOKUP(Tableau1[[#This Row],[Customer ID]],customers!A$2:A$1001,customers!I$2:I$1001)</f>
        <v>No</v>
      </c>
    </row>
    <row r="748" spans="1:16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9" t="str">
        <f>_xlfn.XLOOKUP(orders!C748,customers!$A$2:$A$1001,customers!$B$2:$B$1001)</f>
        <v>Hussein Olliff</v>
      </c>
      <c r="G748" s="9" t="str">
        <f>IF(_xlfn.XLOOKUP(orders!C748,customers!$A$2:$A$1001,customers!$C$2:$C$1001,,,)=0,"",_xlfn.XLOOKUP(orders!C748,customers!$A$2:$A$1001,customers!$C$2:$C$1001,,,))</f>
        <v>holliffkq@sciencedirect.com</v>
      </c>
      <c r="H748" s="9" t="str">
        <f>_xlfn.XLOOKUP(C748,customers!$A$2:$A$1001,customers!$G$2:$G$1001,"")</f>
        <v>Ireland</v>
      </c>
      <c r="I748" s="10" t="str">
        <f>INDEX(products!$A$2:$G$49,MATCH(orders!$D748,products!$A$2:$A$49,0),MATCH(orders!I$1,products!$A$1:$G$1,0))</f>
        <v>Ara</v>
      </c>
      <c r="J748" s="10" t="str">
        <f>INDEX(products!$A$2:$G$49,MATCH(orders!$D748,products!$A$2:$A$49,0),MATCH(orders!J$1,products!$A$1:$G$1,0))</f>
        <v>M</v>
      </c>
      <c r="K748" s="11">
        <f>INDEX(products!$A$2:$G$49,MATCH(orders!$D748,products!$A$2:$A$49,0),MATCH(orders!K$1,products!$A$1:$G$1,0))</f>
        <v>1</v>
      </c>
      <c r="L748" s="12">
        <f>INDEX(products!$A$2:$G$49,MATCH(orders!$D748,products!$A$2:$A$49,0),MATCH(orders!L$1,products!$A$1:$G$1,0))</f>
        <v>11.25</v>
      </c>
      <c r="M748" s="12">
        <f t="shared" si="33"/>
        <v>33.75</v>
      </c>
      <c r="N748" s="10" t="str">
        <f t="shared" si="34"/>
        <v>Arabica</v>
      </c>
      <c r="O748" s="10" t="str">
        <f t="shared" si="35"/>
        <v>Medium</v>
      </c>
      <c r="P748" s="10" t="str">
        <f>_xlfn.XLOOKUP(Tableau1[[#This Row],[Customer ID]],customers!A$2:A$1001,customers!I$2:I$1001)</f>
        <v>No</v>
      </c>
    </row>
    <row r="749" spans="1:16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9" t="str">
        <f>_xlfn.XLOOKUP(orders!C749,customers!$A$2:$A$1001,customers!$B$2:$B$1001)</f>
        <v>Teddi Quadri</v>
      </c>
      <c r="G749" s="9" t="str">
        <f>IF(_xlfn.XLOOKUP(orders!C749,customers!$A$2:$A$1001,customers!$C$2:$C$1001,,,)=0,"",_xlfn.XLOOKUP(orders!C749,customers!$A$2:$A$1001,customers!$C$2:$C$1001,,,))</f>
        <v>tquadrikr@opensource.org</v>
      </c>
      <c r="H749" s="9" t="str">
        <f>_xlfn.XLOOKUP(C749,customers!$A$2:$A$1001,customers!$G$2:$G$1001,"")</f>
        <v>Ireland</v>
      </c>
      <c r="I749" s="10" t="str">
        <f>INDEX(products!$A$2:$G$49,MATCH(orders!$D749,products!$A$2:$A$49,0),MATCH(orders!I$1,products!$A$1:$G$1,0))</f>
        <v>Lib</v>
      </c>
      <c r="J749" s="10" t="str">
        <f>INDEX(products!$A$2:$G$49,MATCH(orders!$D749,products!$A$2:$A$49,0),MATCH(orders!J$1,products!$A$1:$G$1,0))</f>
        <v>M</v>
      </c>
      <c r="K749" s="11">
        <f>INDEX(products!$A$2:$G$49,MATCH(orders!$D749,products!$A$2:$A$49,0),MATCH(orders!K$1,products!$A$1:$G$1,0))</f>
        <v>0.5</v>
      </c>
      <c r="L749" s="12">
        <f>INDEX(products!$A$2:$G$49,MATCH(orders!$D749,products!$A$2:$A$49,0),MATCH(orders!L$1,products!$A$1:$G$1,0))</f>
        <v>8.73</v>
      </c>
      <c r="M749" s="12">
        <f t="shared" si="33"/>
        <v>34.92</v>
      </c>
      <c r="N749" s="10" t="str">
        <f t="shared" si="34"/>
        <v>Liberica</v>
      </c>
      <c r="O749" s="10" t="str">
        <f t="shared" si="35"/>
        <v>Medium</v>
      </c>
      <c r="P749" s="10" t="str">
        <f>_xlfn.XLOOKUP(Tableau1[[#This Row],[Customer ID]],customers!A$2:A$1001,customers!I$2:I$1001)</f>
        <v>Yes</v>
      </c>
    </row>
    <row r="750" spans="1:16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9" t="str">
        <f>_xlfn.XLOOKUP(orders!C750,customers!$A$2:$A$1001,customers!$B$2:$B$1001)</f>
        <v>Felita Eshmade</v>
      </c>
      <c r="G750" s="9" t="str">
        <f>IF(_xlfn.XLOOKUP(orders!C750,customers!$A$2:$A$1001,customers!$C$2:$C$1001,,,)=0,"",_xlfn.XLOOKUP(orders!C750,customers!$A$2:$A$1001,customers!$C$2:$C$1001,,,))</f>
        <v>feshmadeks@umn.edu</v>
      </c>
      <c r="H750" s="9" t="str">
        <f>_xlfn.XLOOKUP(C750,customers!$A$2:$A$1001,customers!$G$2:$G$1001,"")</f>
        <v>United States</v>
      </c>
      <c r="I750" s="10" t="str">
        <f>INDEX(products!$A$2:$G$49,MATCH(orders!$D750,products!$A$2:$A$49,0),MATCH(orders!I$1,products!$A$1:$G$1,0))</f>
        <v>Exc</v>
      </c>
      <c r="J750" s="10" t="str">
        <f>INDEX(products!$A$2:$G$49,MATCH(orders!$D750,products!$A$2:$A$49,0),MATCH(orders!J$1,products!$A$1:$G$1,0))</f>
        <v>D</v>
      </c>
      <c r="K750" s="11">
        <f>INDEX(products!$A$2:$G$49,MATCH(orders!$D750,products!$A$2:$A$49,0),MATCH(orders!K$1,products!$A$1:$G$1,0))</f>
        <v>0.5</v>
      </c>
      <c r="L750" s="12">
        <f>INDEX(products!$A$2:$G$49,MATCH(orders!$D750,products!$A$2:$A$49,0),MATCH(orders!L$1,products!$A$1:$G$1,0))</f>
        <v>7.29</v>
      </c>
      <c r="M750" s="12">
        <f t="shared" si="33"/>
        <v>14.58</v>
      </c>
      <c r="N750" s="10" t="str">
        <f t="shared" si="34"/>
        <v>Excelsa</v>
      </c>
      <c r="O750" s="10" t="str">
        <f t="shared" si="35"/>
        <v>Dark</v>
      </c>
      <c r="P750" s="10" t="str">
        <f>_xlfn.XLOOKUP(Tableau1[[#This Row],[Customer ID]],customers!A$2:A$1001,customers!I$2:I$1001)</f>
        <v>No</v>
      </c>
    </row>
    <row r="751" spans="1:16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9" t="str">
        <f>_xlfn.XLOOKUP(orders!C751,customers!$A$2:$A$1001,customers!$B$2:$B$1001)</f>
        <v>Melodie OIlier</v>
      </c>
      <c r="G751" s="9" t="str">
        <f>IF(_xlfn.XLOOKUP(orders!C751,customers!$A$2:$A$1001,customers!$C$2:$C$1001,,,)=0,"",_xlfn.XLOOKUP(orders!C751,customers!$A$2:$A$1001,customers!$C$2:$C$1001,,,))</f>
        <v>moilierkt@paginegialle.it</v>
      </c>
      <c r="H751" s="9" t="str">
        <f>_xlfn.XLOOKUP(C751,customers!$A$2:$A$1001,customers!$G$2:$G$1001,"")</f>
        <v>Ireland</v>
      </c>
      <c r="I751" s="10" t="str">
        <f>INDEX(products!$A$2:$G$49,MATCH(orders!$D751,products!$A$2:$A$49,0),MATCH(orders!I$1,products!$A$1:$G$1,0))</f>
        <v>Rob</v>
      </c>
      <c r="J751" s="10" t="str">
        <f>INDEX(products!$A$2:$G$49,MATCH(orders!$D751,products!$A$2:$A$49,0),MATCH(orders!J$1,products!$A$1:$G$1,0))</f>
        <v>D</v>
      </c>
      <c r="K751" s="11">
        <f>INDEX(products!$A$2:$G$49,MATCH(orders!$D751,products!$A$2:$A$49,0),MATCH(orders!K$1,products!$A$1:$G$1,0))</f>
        <v>0.2</v>
      </c>
      <c r="L751" s="12">
        <f>INDEX(products!$A$2:$G$49,MATCH(orders!$D751,products!$A$2:$A$49,0),MATCH(orders!L$1,products!$A$1:$G$1,0))</f>
        <v>2.6849999999999996</v>
      </c>
      <c r="M751" s="12">
        <f t="shared" si="33"/>
        <v>5.3699999999999992</v>
      </c>
      <c r="N751" s="10" t="str">
        <f t="shared" si="34"/>
        <v>Robusta</v>
      </c>
      <c r="O751" s="10" t="str">
        <f t="shared" si="35"/>
        <v>Dark</v>
      </c>
      <c r="P751" s="10" t="str">
        <f>_xlfn.XLOOKUP(Tableau1[[#This Row],[Customer ID]],customers!A$2:A$1001,customers!I$2:I$1001)</f>
        <v>Yes</v>
      </c>
    </row>
    <row r="752" spans="1:16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9" t="str">
        <f>_xlfn.XLOOKUP(orders!C752,customers!$A$2:$A$1001,customers!$B$2:$B$1001)</f>
        <v>Hazel Iacopini</v>
      </c>
      <c r="G752" s="9" t="str">
        <f>IF(_xlfn.XLOOKUP(orders!C752,customers!$A$2:$A$1001,customers!$C$2:$C$1001,,,)=0,"",_xlfn.XLOOKUP(orders!C752,customers!$A$2:$A$1001,customers!$C$2:$C$1001,,,))</f>
        <v/>
      </c>
      <c r="H752" s="9" t="str">
        <f>_xlfn.XLOOKUP(C752,customers!$A$2:$A$1001,customers!$G$2:$G$1001,"")</f>
        <v>United States</v>
      </c>
      <c r="I752" s="10" t="str">
        <f>INDEX(products!$A$2:$G$49,MATCH(orders!$D752,products!$A$2:$A$49,0),MATCH(orders!I$1,products!$A$1:$G$1,0))</f>
        <v>Rob</v>
      </c>
      <c r="J752" s="10" t="str">
        <f>INDEX(products!$A$2:$G$49,MATCH(orders!$D752,products!$A$2:$A$49,0),MATCH(orders!J$1,products!$A$1:$G$1,0))</f>
        <v>M</v>
      </c>
      <c r="K752" s="11">
        <f>INDEX(products!$A$2:$G$49,MATCH(orders!$D752,products!$A$2:$A$49,0),MATCH(orders!K$1,products!$A$1:$G$1,0))</f>
        <v>0.5</v>
      </c>
      <c r="L752" s="12">
        <f>INDEX(products!$A$2:$G$49,MATCH(orders!$D752,products!$A$2:$A$49,0),MATCH(orders!L$1,products!$A$1:$G$1,0))</f>
        <v>5.97</v>
      </c>
      <c r="M752" s="12">
        <f t="shared" si="33"/>
        <v>5.97</v>
      </c>
      <c r="N752" s="10" t="str">
        <f t="shared" si="34"/>
        <v>Robusta</v>
      </c>
      <c r="O752" s="10" t="str">
        <f t="shared" si="35"/>
        <v>Medium</v>
      </c>
      <c r="P752" s="10" t="str">
        <f>_xlfn.XLOOKUP(Tableau1[[#This Row],[Customer ID]],customers!A$2:A$1001,customers!I$2:I$1001)</f>
        <v>Yes</v>
      </c>
    </row>
    <row r="753" spans="1:16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9" t="str">
        <f>_xlfn.XLOOKUP(orders!C753,customers!$A$2:$A$1001,customers!$B$2:$B$1001)</f>
        <v>Vinny Shoebotham</v>
      </c>
      <c r="G753" s="9" t="str">
        <f>IF(_xlfn.XLOOKUP(orders!C753,customers!$A$2:$A$1001,customers!$C$2:$C$1001,,,)=0,"",_xlfn.XLOOKUP(orders!C753,customers!$A$2:$A$1001,customers!$C$2:$C$1001,,,))</f>
        <v>vshoebothamkv@redcross.org</v>
      </c>
      <c r="H753" s="9" t="str">
        <f>_xlfn.XLOOKUP(C753,customers!$A$2:$A$1001,customers!$G$2:$G$1001,"")</f>
        <v>United States</v>
      </c>
      <c r="I753" s="10" t="str">
        <f>INDEX(products!$A$2:$G$49,MATCH(orders!$D753,products!$A$2:$A$49,0),MATCH(orders!I$1,products!$A$1:$G$1,0))</f>
        <v>Lib</v>
      </c>
      <c r="J753" s="10" t="str">
        <f>INDEX(products!$A$2:$G$49,MATCH(orders!$D753,products!$A$2:$A$49,0),MATCH(orders!J$1,products!$A$1:$G$1,0))</f>
        <v>L</v>
      </c>
      <c r="K753" s="11">
        <f>INDEX(products!$A$2:$G$49,MATCH(orders!$D753,products!$A$2:$A$49,0),MATCH(orders!K$1,products!$A$1:$G$1,0))</f>
        <v>0.5</v>
      </c>
      <c r="L753" s="12">
        <f>INDEX(products!$A$2:$G$49,MATCH(orders!$D753,products!$A$2:$A$49,0),MATCH(orders!L$1,products!$A$1:$G$1,0))</f>
        <v>9.51</v>
      </c>
      <c r="M753" s="12">
        <f t="shared" si="33"/>
        <v>19.02</v>
      </c>
      <c r="N753" s="10" t="str">
        <f t="shared" si="34"/>
        <v>Liberica</v>
      </c>
      <c r="O753" s="10" t="str">
        <f t="shared" si="35"/>
        <v>Light</v>
      </c>
      <c r="P753" s="10" t="str">
        <f>_xlfn.XLOOKUP(Tableau1[[#This Row],[Customer ID]],customers!A$2:A$1001,customers!I$2:I$1001)</f>
        <v>No</v>
      </c>
    </row>
    <row r="754" spans="1:16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9" t="str">
        <f>_xlfn.XLOOKUP(orders!C754,customers!$A$2:$A$1001,customers!$B$2:$B$1001)</f>
        <v>Bran Sterke</v>
      </c>
      <c r="G754" s="9" t="str">
        <f>IF(_xlfn.XLOOKUP(orders!C754,customers!$A$2:$A$1001,customers!$C$2:$C$1001,,,)=0,"",_xlfn.XLOOKUP(orders!C754,customers!$A$2:$A$1001,customers!$C$2:$C$1001,,,))</f>
        <v>bsterkekw@biblegateway.com</v>
      </c>
      <c r="H754" s="9" t="str">
        <f>_xlfn.XLOOKUP(C754,customers!$A$2:$A$1001,customers!$G$2:$G$1001,"")</f>
        <v>United States</v>
      </c>
      <c r="I754" s="10" t="str">
        <f>INDEX(products!$A$2:$G$49,MATCH(orders!$D754,products!$A$2:$A$49,0),MATCH(orders!I$1,products!$A$1:$G$1,0))</f>
        <v>Exc</v>
      </c>
      <c r="J754" s="10" t="str">
        <f>INDEX(products!$A$2:$G$49,MATCH(orders!$D754,products!$A$2:$A$49,0),MATCH(orders!J$1,products!$A$1:$G$1,0))</f>
        <v>M</v>
      </c>
      <c r="K754" s="11">
        <f>INDEX(products!$A$2:$G$49,MATCH(orders!$D754,products!$A$2:$A$49,0),MATCH(orders!K$1,products!$A$1:$G$1,0))</f>
        <v>1</v>
      </c>
      <c r="L754" s="12">
        <f>INDEX(products!$A$2:$G$49,MATCH(orders!$D754,products!$A$2:$A$49,0),MATCH(orders!L$1,products!$A$1:$G$1,0))</f>
        <v>13.75</v>
      </c>
      <c r="M754" s="12">
        <f t="shared" si="33"/>
        <v>27.5</v>
      </c>
      <c r="N754" s="10" t="str">
        <f t="shared" si="34"/>
        <v>Excelsa</v>
      </c>
      <c r="O754" s="10" t="str">
        <f t="shared" si="35"/>
        <v>Medium</v>
      </c>
      <c r="P754" s="10" t="str">
        <f>_xlfn.XLOOKUP(Tableau1[[#This Row],[Customer ID]],customers!A$2:A$1001,customers!I$2:I$1001)</f>
        <v>Yes</v>
      </c>
    </row>
    <row r="755" spans="1:16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9" t="str">
        <f>_xlfn.XLOOKUP(orders!C755,customers!$A$2:$A$1001,customers!$B$2:$B$1001)</f>
        <v>Simone Capon</v>
      </c>
      <c r="G755" s="9" t="str">
        <f>IF(_xlfn.XLOOKUP(orders!C755,customers!$A$2:$A$1001,customers!$C$2:$C$1001,,,)=0,"",_xlfn.XLOOKUP(orders!C755,customers!$A$2:$A$1001,customers!$C$2:$C$1001,,,))</f>
        <v>scaponkx@craigslist.org</v>
      </c>
      <c r="H755" s="9" t="str">
        <f>_xlfn.XLOOKUP(C755,customers!$A$2:$A$1001,customers!$G$2:$G$1001,"")</f>
        <v>United States</v>
      </c>
      <c r="I755" s="10" t="str">
        <f>INDEX(products!$A$2:$G$49,MATCH(orders!$D755,products!$A$2:$A$49,0),MATCH(orders!I$1,products!$A$1:$G$1,0))</f>
        <v>Ara</v>
      </c>
      <c r="J755" s="10" t="str">
        <f>INDEX(products!$A$2:$G$49,MATCH(orders!$D755,products!$A$2:$A$49,0),MATCH(orders!J$1,products!$A$1:$G$1,0))</f>
        <v>D</v>
      </c>
      <c r="K755" s="11">
        <f>INDEX(products!$A$2:$G$49,MATCH(orders!$D755,products!$A$2:$A$49,0),MATCH(orders!K$1,products!$A$1:$G$1,0))</f>
        <v>0.5</v>
      </c>
      <c r="L755" s="12">
        <f>INDEX(products!$A$2:$G$49,MATCH(orders!$D755,products!$A$2:$A$49,0),MATCH(orders!L$1,products!$A$1:$G$1,0))</f>
        <v>5.97</v>
      </c>
      <c r="M755" s="12">
        <f t="shared" si="33"/>
        <v>29.849999999999998</v>
      </c>
      <c r="N755" s="10" t="str">
        <f t="shared" si="34"/>
        <v>Arabica</v>
      </c>
      <c r="O755" s="10" t="str">
        <f t="shared" si="35"/>
        <v>Dark</v>
      </c>
      <c r="P755" s="10" t="str">
        <f>_xlfn.XLOOKUP(Tableau1[[#This Row],[Customer ID]],customers!A$2:A$1001,customers!I$2:I$1001)</f>
        <v>No</v>
      </c>
    </row>
    <row r="756" spans="1:16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9" t="str">
        <f>_xlfn.XLOOKUP(orders!C756,customers!$A$2:$A$1001,customers!$B$2:$B$1001)</f>
        <v>Jimmy Dymoke</v>
      </c>
      <c r="G756" s="9" t="str">
        <f>IF(_xlfn.XLOOKUP(orders!C756,customers!$A$2:$A$1001,customers!$C$2:$C$1001,,,)=0,"",_xlfn.XLOOKUP(orders!C756,customers!$A$2:$A$1001,customers!$C$2:$C$1001,,,))</f>
        <v>jdymokeje@prnewswire.com</v>
      </c>
      <c r="H756" s="9" t="str">
        <f>_xlfn.XLOOKUP(C756,customers!$A$2:$A$1001,customers!$G$2:$G$1001,"")</f>
        <v>Ireland</v>
      </c>
      <c r="I756" s="10" t="str">
        <f>INDEX(products!$A$2:$G$49,MATCH(orders!$D756,products!$A$2:$A$49,0),MATCH(orders!I$1,products!$A$1:$G$1,0))</f>
        <v>Ara</v>
      </c>
      <c r="J756" s="10" t="str">
        <f>INDEX(products!$A$2:$G$49,MATCH(orders!$D756,products!$A$2:$A$49,0),MATCH(orders!J$1,products!$A$1:$G$1,0))</f>
        <v>D</v>
      </c>
      <c r="K756" s="11">
        <f>INDEX(products!$A$2:$G$49,MATCH(orders!$D756,products!$A$2:$A$49,0),MATCH(orders!K$1,products!$A$1:$G$1,0))</f>
        <v>0.2</v>
      </c>
      <c r="L756" s="12">
        <f>INDEX(products!$A$2:$G$49,MATCH(orders!$D756,products!$A$2:$A$49,0),MATCH(orders!L$1,products!$A$1:$G$1,0))</f>
        <v>2.9849999999999999</v>
      </c>
      <c r="M756" s="12">
        <f t="shared" si="33"/>
        <v>17.91</v>
      </c>
      <c r="N756" s="10" t="str">
        <f t="shared" si="34"/>
        <v>Arabica</v>
      </c>
      <c r="O756" s="10" t="str">
        <f t="shared" si="35"/>
        <v>Dark</v>
      </c>
      <c r="P756" s="10" t="str">
        <f>_xlfn.XLOOKUP(Tableau1[[#This Row],[Customer ID]],customers!A$2:A$1001,customers!I$2:I$1001)</f>
        <v>No</v>
      </c>
    </row>
    <row r="757" spans="1:16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9" t="str">
        <f>_xlfn.XLOOKUP(orders!C757,customers!$A$2:$A$1001,customers!$B$2:$B$1001)</f>
        <v>Foster Constance</v>
      </c>
      <c r="G757" s="9" t="str">
        <f>IF(_xlfn.XLOOKUP(orders!C757,customers!$A$2:$A$1001,customers!$C$2:$C$1001,,,)=0,"",_xlfn.XLOOKUP(orders!C757,customers!$A$2:$A$1001,customers!$C$2:$C$1001,,,))</f>
        <v>fconstancekz@ifeng.com</v>
      </c>
      <c r="H757" s="9" t="str">
        <f>_xlfn.XLOOKUP(C757,customers!$A$2:$A$1001,customers!$G$2:$G$1001,"")</f>
        <v>United States</v>
      </c>
      <c r="I757" s="10" t="str">
        <f>INDEX(products!$A$2:$G$49,MATCH(orders!$D757,products!$A$2:$A$49,0),MATCH(orders!I$1,products!$A$1:$G$1,0))</f>
        <v>Lib</v>
      </c>
      <c r="J757" s="10" t="str">
        <f>INDEX(products!$A$2:$G$49,MATCH(orders!$D757,products!$A$2:$A$49,0),MATCH(orders!J$1,products!$A$1:$G$1,0))</f>
        <v>L</v>
      </c>
      <c r="K757" s="11">
        <f>INDEX(products!$A$2:$G$49,MATCH(orders!$D757,products!$A$2:$A$49,0),MATCH(orders!K$1,products!$A$1:$G$1,0))</f>
        <v>0.2</v>
      </c>
      <c r="L757" s="12">
        <f>INDEX(products!$A$2:$G$49,MATCH(orders!$D757,products!$A$2:$A$49,0),MATCH(orders!L$1,products!$A$1:$G$1,0))</f>
        <v>4.7549999999999999</v>
      </c>
      <c r="M757" s="12">
        <f t="shared" si="33"/>
        <v>28.53</v>
      </c>
      <c r="N757" s="10" t="str">
        <f t="shared" si="34"/>
        <v>Liberica</v>
      </c>
      <c r="O757" s="10" t="str">
        <f t="shared" si="35"/>
        <v>Light</v>
      </c>
      <c r="P757" s="10" t="str">
        <f>_xlfn.XLOOKUP(Tableau1[[#This Row],[Customer ID]],customers!A$2:A$1001,customers!I$2:I$1001)</f>
        <v>No</v>
      </c>
    </row>
    <row r="758" spans="1:16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9" t="str">
        <f>_xlfn.XLOOKUP(orders!C758,customers!$A$2:$A$1001,customers!$B$2:$B$1001)</f>
        <v>Fernando Sulman</v>
      </c>
      <c r="G758" s="9" t="str">
        <f>IF(_xlfn.XLOOKUP(orders!C758,customers!$A$2:$A$1001,customers!$C$2:$C$1001,,,)=0,"",_xlfn.XLOOKUP(orders!C758,customers!$A$2:$A$1001,customers!$C$2:$C$1001,,,))</f>
        <v>fsulmanl0@washington.edu</v>
      </c>
      <c r="H758" s="9" t="str">
        <f>_xlfn.XLOOKUP(C758,customers!$A$2:$A$1001,customers!$G$2:$G$1001,"")</f>
        <v>United States</v>
      </c>
      <c r="I758" s="10" t="str">
        <f>INDEX(products!$A$2:$G$49,MATCH(orders!$D758,products!$A$2:$A$49,0),MATCH(orders!I$1,products!$A$1:$G$1,0))</f>
        <v>Rob</v>
      </c>
      <c r="J758" s="10" t="str">
        <f>INDEX(products!$A$2:$G$49,MATCH(orders!$D758,products!$A$2:$A$49,0),MATCH(orders!J$1,products!$A$1:$G$1,0))</f>
        <v>D</v>
      </c>
      <c r="K758" s="11">
        <f>INDEX(products!$A$2:$G$49,MATCH(orders!$D758,products!$A$2:$A$49,0),MATCH(orders!K$1,products!$A$1:$G$1,0))</f>
        <v>1</v>
      </c>
      <c r="L758" s="12">
        <f>INDEX(products!$A$2:$G$49,MATCH(orders!$D758,products!$A$2:$A$49,0),MATCH(orders!L$1,products!$A$1:$G$1,0))</f>
        <v>8.9499999999999993</v>
      </c>
      <c r="M758" s="12">
        <f t="shared" si="33"/>
        <v>35.799999999999997</v>
      </c>
      <c r="N758" s="10" t="str">
        <f t="shared" si="34"/>
        <v>Robusta</v>
      </c>
      <c r="O758" s="10" t="str">
        <f t="shared" si="35"/>
        <v>Dark</v>
      </c>
      <c r="P758" s="10" t="str">
        <f>_xlfn.XLOOKUP(Tableau1[[#This Row],[Customer ID]],customers!A$2:A$1001,customers!I$2:I$1001)</f>
        <v>Yes</v>
      </c>
    </row>
    <row r="759" spans="1:16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9" t="str">
        <f>_xlfn.XLOOKUP(orders!C759,customers!$A$2:$A$1001,customers!$B$2:$B$1001)</f>
        <v>Dorotea Hollyman</v>
      </c>
      <c r="G759" s="9" t="str">
        <f>IF(_xlfn.XLOOKUP(orders!C759,customers!$A$2:$A$1001,customers!$C$2:$C$1001,,,)=0,"",_xlfn.XLOOKUP(orders!C759,customers!$A$2:$A$1001,customers!$C$2:$C$1001,,,))</f>
        <v>dhollymanl1@ibm.com</v>
      </c>
      <c r="H759" s="9" t="str">
        <f>_xlfn.XLOOKUP(C759,customers!$A$2:$A$1001,customers!$G$2:$G$1001,"")</f>
        <v>United States</v>
      </c>
      <c r="I759" s="10" t="str">
        <f>INDEX(products!$A$2:$G$49,MATCH(orders!$D759,products!$A$2:$A$49,0),MATCH(orders!I$1,products!$A$1:$G$1,0))</f>
        <v>Ara</v>
      </c>
      <c r="J759" s="10" t="str">
        <f>INDEX(products!$A$2:$G$49,MATCH(orders!$D759,products!$A$2:$A$49,0),MATCH(orders!J$1,products!$A$1:$G$1,0))</f>
        <v>D</v>
      </c>
      <c r="K759" s="11">
        <f>INDEX(products!$A$2:$G$49,MATCH(orders!$D759,products!$A$2:$A$49,0),MATCH(orders!K$1,products!$A$1:$G$1,0))</f>
        <v>0.5</v>
      </c>
      <c r="L759" s="12">
        <f>INDEX(products!$A$2:$G$49,MATCH(orders!$D759,products!$A$2:$A$49,0),MATCH(orders!L$1,products!$A$1:$G$1,0))</f>
        <v>5.97</v>
      </c>
      <c r="M759" s="12">
        <f t="shared" si="33"/>
        <v>17.91</v>
      </c>
      <c r="N759" s="10" t="str">
        <f t="shared" si="34"/>
        <v>Arabica</v>
      </c>
      <c r="O759" s="10" t="str">
        <f t="shared" si="35"/>
        <v>Dark</v>
      </c>
      <c r="P759" s="10" t="str">
        <f>_xlfn.XLOOKUP(Tableau1[[#This Row],[Customer ID]],customers!A$2:A$1001,customers!I$2:I$1001)</f>
        <v>Yes</v>
      </c>
    </row>
    <row r="760" spans="1:16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9" t="str">
        <f>_xlfn.XLOOKUP(orders!C760,customers!$A$2:$A$1001,customers!$B$2:$B$1001)</f>
        <v>Lorelei Nardoni</v>
      </c>
      <c r="G760" s="9" t="str">
        <f>IF(_xlfn.XLOOKUP(orders!C760,customers!$A$2:$A$1001,customers!$C$2:$C$1001,,,)=0,"",_xlfn.XLOOKUP(orders!C760,customers!$A$2:$A$1001,customers!$C$2:$C$1001,,,))</f>
        <v>lnardonil2@hao123.com</v>
      </c>
      <c r="H760" s="9" t="str">
        <f>_xlfn.XLOOKUP(C760,customers!$A$2:$A$1001,customers!$G$2:$G$1001,"")</f>
        <v>United States</v>
      </c>
      <c r="I760" s="10" t="str">
        <f>INDEX(products!$A$2:$G$49,MATCH(orders!$D760,products!$A$2:$A$49,0),MATCH(orders!I$1,products!$A$1:$G$1,0))</f>
        <v>Rob</v>
      </c>
      <c r="J760" s="10" t="str">
        <f>INDEX(products!$A$2:$G$49,MATCH(orders!$D760,products!$A$2:$A$49,0),MATCH(orders!J$1,products!$A$1:$G$1,0))</f>
        <v>D</v>
      </c>
      <c r="K760" s="11">
        <f>INDEX(products!$A$2:$G$49,MATCH(orders!$D760,products!$A$2:$A$49,0),MATCH(orders!K$1,products!$A$1:$G$1,0))</f>
        <v>1</v>
      </c>
      <c r="L760" s="12">
        <f>INDEX(products!$A$2:$G$49,MATCH(orders!$D760,products!$A$2:$A$49,0),MATCH(orders!L$1,products!$A$1:$G$1,0))</f>
        <v>8.9499999999999993</v>
      </c>
      <c r="M760" s="12">
        <f t="shared" si="33"/>
        <v>8.9499999999999993</v>
      </c>
      <c r="N760" s="10" t="str">
        <f t="shared" si="34"/>
        <v>Robusta</v>
      </c>
      <c r="O760" s="10" t="str">
        <f t="shared" si="35"/>
        <v>Dark</v>
      </c>
      <c r="P760" s="10" t="str">
        <f>_xlfn.XLOOKUP(Tableau1[[#This Row],[Customer ID]],customers!A$2:A$1001,customers!I$2:I$1001)</f>
        <v>No</v>
      </c>
    </row>
    <row r="761" spans="1:16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9" t="str">
        <f>_xlfn.XLOOKUP(orders!C761,customers!$A$2:$A$1001,customers!$B$2:$B$1001)</f>
        <v>Dallas Yarham</v>
      </c>
      <c r="G761" s="9" t="str">
        <f>IF(_xlfn.XLOOKUP(orders!C761,customers!$A$2:$A$1001,customers!$C$2:$C$1001,,,)=0,"",_xlfn.XLOOKUP(orders!C761,customers!$A$2:$A$1001,customers!$C$2:$C$1001,,,))</f>
        <v>dyarhaml3@moonfruit.com</v>
      </c>
      <c r="H761" s="9" t="str">
        <f>_xlfn.XLOOKUP(C761,customers!$A$2:$A$1001,customers!$G$2:$G$1001,"")</f>
        <v>United States</v>
      </c>
      <c r="I761" s="10" t="str">
        <f>INDEX(products!$A$2:$G$49,MATCH(orders!$D761,products!$A$2:$A$49,0),MATCH(orders!I$1,products!$A$1:$G$1,0))</f>
        <v>Lib</v>
      </c>
      <c r="J761" s="10" t="str">
        <f>INDEX(products!$A$2:$G$49,MATCH(orders!$D761,products!$A$2:$A$49,0),MATCH(orders!J$1,products!$A$1:$G$1,0))</f>
        <v>D</v>
      </c>
      <c r="K761" s="11">
        <f>INDEX(products!$A$2:$G$49,MATCH(orders!$D761,products!$A$2:$A$49,0),MATCH(orders!K$1,products!$A$1:$G$1,0))</f>
        <v>2.5</v>
      </c>
      <c r="L761" s="12">
        <f>INDEX(products!$A$2:$G$49,MATCH(orders!$D761,products!$A$2:$A$49,0),MATCH(orders!L$1,products!$A$1:$G$1,0))</f>
        <v>29.784999999999997</v>
      </c>
      <c r="M761" s="12">
        <f t="shared" si="33"/>
        <v>29.784999999999997</v>
      </c>
      <c r="N761" s="10" t="str">
        <f t="shared" si="34"/>
        <v>Liberica</v>
      </c>
      <c r="O761" s="10" t="str">
        <f t="shared" si="35"/>
        <v>Dark</v>
      </c>
      <c r="P761" s="10" t="str">
        <f>_xlfn.XLOOKUP(Tableau1[[#This Row],[Customer ID]],customers!A$2:A$1001,customers!I$2:I$1001)</f>
        <v>Yes</v>
      </c>
    </row>
    <row r="762" spans="1:16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9" t="str">
        <f>_xlfn.XLOOKUP(orders!C762,customers!$A$2:$A$1001,customers!$B$2:$B$1001)</f>
        <v>Arlana Ferrea</v>
      </c>
      <c r="G762" s="9" t="str">
        <f>IF(_xlfn.XLOOKUP(orders!C762,customers!$A$2:$A$1001,customers!$C$2:$C$1001,,,)=0,"",_xlfn.XLOOKUP(orders!C762,customers!$A$2:$A$1001,customers!$C$2:$C$1001,,,))</f>
        <v>aferreal4@wikia.com</v>
      </c>
      <c r="H762" s="9" t="str">
        <f>_xlfn.XLOOKUP(C762,customers!$A$2:$A$1001,customers!$G$2:$G$1001,"")</f>
        <v>United States</v>
      </c>
      <c r="I762" s="10" t="str">
        <f>INDEX(products!$A$2:$G$49,MATCH(orders!$D762,products!$A$2:$A$49,0),MATCH(orders!I$1,products!$A$1:$G$1,0))</f>
        <v>Exc</v>
      </c>
      <c r="J762" s="10" t="str">
        <f>INDEX(products!$A$2:$G$49,MATCH(orders!$D762,products!$A$2:$A$49,0),MATCH(orders!J$1,products!$A$1:$G$1,0))</f>
        <v>L</v>
      </c>
      <c r="K762" s="11">
        <f>INDEX(products!$A$2:$G$49,MATCH(orders!$D762,products!$A$2:$A$49,0),MATCH(orders!K$1,products!$A$1:$G$1,0))</f>
        <v>0.5</v>
      </c>
      <c r="L762" s="12">
        <f>INDEX(products!$A$2:$G$49,MATCH(orders!$D762,products!$A$2:$A$49,0),MATCH(orders!L$1,products!$A$1:$G$1,0))</f>
        <v>8.91</v>
      </c>
      <c r="M762" s="12">
        <f t="shared" si="33"/>
        <v>44.55</v>
      </c>
      <c r="N762" s="10" t="str">
        <f t="shared" si="34"/>
        <v>Excelsa</v>
      </c>
      <c r="O762" s="10" t="str">
        <f t="shared" si="35"/>
        <v>Light</v>
      </c>
      <c r="P762" s="10" t="str">
        <f>_xlfn.XLOOKUP(Tableau1[[#This Row],[Customer ID]],customers!A$2:A$1001,customers!I$2:I$1001)</f>
        <v>No</v>
      </c>
    </row>
    <row r="763" spans="1:16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9" t="str">
        <f>_xlfn.XLOOKUP(orders!C763,customers!$A$2:$A$1001,customers!$B$2:$B$1001)</f>
        <v>Chuck Kendrick</v>
      </c>
      <c r="G763" s="9" t="str">
        <f>IF(_xlfn.XLOOKUP(orders!C763,customers!$A$2:$A$1001,customers!$C$2:$C$1001,,,)=0,"",_xlfn.XLOOKUP(orders!C763,customers!$A$2:$A$1001,customers!$C$2:$C$1001,,,))</f>
        <v>ckendrickl5@webnode.com</v>
      </c>
      <c r="H763" s="9" t="str">
        <f>_xlfn.XLOOKUP(C763,customers!$A$2:$A$1001,customers!$G$2:$G$1001,"")</f>
        <v>United States</v>
      </c>
      <c r="I763" s="10" t="str">
        <f>INDEX(products!$A$2:$G$49,MATCH(orders!$D763,products!$A$2:$A$49,0),MATCH(orders!I$1,products!$A$1:$G$1,0))</f>
        <v>Exc</v>
      </c>
      <c r="J763" s="10" t="str">
        <f>INDEX(products!$A$2:$G$49,MATCH(orders!$D763,products!$A$2:$A$49,0),MATCH(orders!J$1,products!$A$1:$G$1,0))</f>
        <v>L</v>
      </c>
      <c r="K763" s="11">
        <f>INDEX(products!$A$2:$G$49,MATCH(orders!$D763,products!$A$2:$A$49,0),MATCH(orders!K$1,products!$A$1:$G$1,0))</f>
        <v>1</v>
      </c>
      <c r="L763" s="12">
        <f>INDEX(products!$A$2:$G$49,MATCH(orders!$D763,products!$A$2:$A$49,0),MATCH(orders!L$1,products!$A$1:$G$1,0))</f>
        <v>14.85</v>
      </c>
      <c r="M763" s="12">
        <f t="shared" si="33"/>
        <v>89.1</v>
      </c>
      <c r="N763" s="10" t="str">
        <f t="shared" si="34"/>
        <v>Excelsa</v>
      </c>
      <c r="O763" s="10" t="str">
        <f t="shared" si="35"/>
        <v>Light</v>
      </c>
      <c r="P763" s="10" t="str">
        <f>_xlfn.XLOOKUP(Tableau1[[#This Row],[Customer ID]],customers!A$2:A$1001,customers!I$2:I$1001)</f>
        <v>Yes</v>
      </c>
    </row>
    <row r="764" spans="1:16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9" t="str">
        <f>_xlfn.XLOOKUP(orders!C764,customers!$A$2:$A$1001,customers!$B$2:$B$1001)</f>
        <v>Sharona Danilchik</v>
      </c>
      <c r="G764" s="9" t="str">
        <f>IF(_xlfn.XLOOKUP(orders!C764,customers!$A$2:$A$1001,customers!$C$2:$C$1001,,,)=0,"",_xlfn.XLOOKUP(orders!C764,customers!$A$2:$A$1001,customers!$C$2:$C$1001,,,))</f>
        <v>sdanilchikl6@mit.edu</v>
      </c>
      <c r="H764" s="9" t="str">
        <f>_xlfn.XLOOKUP(C764,customers!$A$2:$A$1001,customers!$G$2:$G$1001,"")</f>
        <v>United Kingdom</v>
      </c>
      <c r="I764" s="10" t="str">
        <f>INDEX(products!$A$2:$G$49,MATCH(orders!$D764,products!$A$2:$A$49,0),MATCH(orders!I$1,products!$A$1:$G$1,0))</f>
        <v>Lib</v>
      </c>
      <c r="J764" s="10" t="str">
        <f>INDEX(products!$A$2:$G$49,MATCH(orders!$D764,products!$A$2:$A$49,0),MATCH(orders!J$1,products!$A$1:$G$1,0))</f>
        <v>M</v>
      </c>
      <c r="K764" s="11">
        <f>INDEX(products!$A$2:$G$49,MATCH(orders!$D764,products!$A$2:$A$49,0),MATCH(orders!K$1,products!$A$1:$G$1,0))</f>
        <v>0.5</v>
      </c>
      <c r="L764" s="12">
        <f>INDEX(products!$A$2:$G$49,MATCH(orders!$D764,products!$A$2:$A$49,0),MATCH(orders!L$1,products!$A$1:$G$1,0))</f>
        <v>8.73</v>
      </c>
      <c r="M764" s="12">
        <f t="shared" si="33"/>
        <v>43.650000000000006</v>
      </c>
      <c r="N764" s="10" t="str">
        <f t="shared" si="34"/>
        <v>Liberica</v>
      </c>
      <c r="O764" s="10" t="str">
        <f t="shared" si="35"/>
        <v>Medium</v>
      </c>
      <c r="P764" s="10" t="str">
        <f>_xlfn.XLOOKUP(Tableau1[[#This Row],[Customer ID]],customers!A$2:A$1001,customers!I$2:I$1001)</f>
        <v>No</v>
      </c>
    </row>
    <row r="765" spans="1:16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9" t="str">
        <f>_xlfn.XLOOKUP(orders!C765,customers!$A$2:$A$1001,customers!$B$2:$B$1001)</f>
        <v>Sarajane Potter</v>
      </c>
      <c r="G765" s="9" t="str">
        <f>IF(_xlfn.XLOOKUP(orders!C765,customers!$A$2:$A$1001,customers!$C$2:$C$1001,,,)=0,"",_xlfn.XLOOKUP(orders!C765,customers!$A$2:$A$1001,customers!$C$2:$C$1001,,,))</f>
        <v/>
      </c>
      <c r="H765" s="9" t="str">
        <f>_xlfn.XLOOKUP(C765,customers!$A$2:$A$1001,customers!$G$2:$G$1001,"")</f>
        <v>United States</v>
      </c>
      <c r="I765" s="10" t="str">
        <f>INDEX(products!$A$2:$G$49,MATCH(orders!$D765,products!$A$2:$A$49,0),MATCH(orders!I$1,products!$A$1:$G$1,0))</f>
        <v>Ara</v>
      </c>
      <c r="J765" s="10" t="str">
        <f>INDEX(products!$A$2:$G$49,MATCH(orders!$D765,products!$A$2:$A$49,0),MATCH(orders!J$1,products!$A$1:$G$1,0))</f>
        <v>L</v>
      </c>
      <c r="K765" s="11">
        <f>INDEX(products!$A$2:$G$49,MATCH(orders!$D765,products!$A$2:$A$49,0),MATCH(orders!K$1,products!$A$1:$G$1,0))</f>
        <v>0.5</v>
      </c>
      <c r="L765" s="12">
        <f>INDEX(products!$A$2:$G$49,MATCH(orders!$D765,products!$A$2:$A$49,0),MATCH(orders!L$1,products!$A$1:$G$1,0))</f>
        <v>7.77</v>
      </c>
      <c r="M765" s="12">
        <f t="shared" si="33"/>
        <v>23.31</v>
      </c>
      <c r="N765" s="10" t="str">
        <f t="shared" si="34"/>
        <v>Arabica</v>
      </c>
      <c r="O765" s="10" t="str">
        <f t="shared" si="35"/>
        <v>Light</v>
      </c>
      <c r="P765" s="10" t="str">
        <f>_xlfn.XLOOKUP(Tableau1[[#This Row],[Customer ID]],customers!A$2:A$1001,customers!I$2:I$1001)</f>
        <v>No</v>
      </c>
    </row>
    <row r="766" spans="1:16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9" t="str">
        <f>_xlfn.XLOOKUP(orders!C766,customers!$A$2:$A$1001,customers!$B$2:$B$1001)</f>
        <v>Bobby Folomkin</v>
      </c>
      <c r="G766" s="9" t="str">
        <f>IF(_xlfn.XLOOKUP(orders!C766,customers!$A$2:$A$1001,customers!$C$2:$C$1001,,,)=0,"",_xlfn.XLOOKUP(orders!C766,customers!$A$2:$A$1001,customers!$C$2:$C$1001,,,))</f>
        <v>bfolomkinl8@yolasite.com</v>
      </c>
      <c r="H766" s="9" t="str">
        <f>_xlfn.XLOOKUP(C766,customers!$A$2:$A$1001,customers!$G$2:$G$1001,"")</f>
        <v>United States</v>
      </c>
      <c r="I766" s="10" t="str">
        <f>INDEX(products!$A$2:$G$49,MATCH(orders!$D766,products!$A$2:$A$49,0),MATCH(orders!I$1,products!$A$1:$G$1,0))</f>
        <v>Ara</v>
      </c>
      <c r="J766" s="10" t="str">
        <f>INDEX(products!$A$2:$G$49,MATCH(orders!$D766,products!$A$2:$A$49,0),MATCH(orders!J$1,products!$A$1:$G$1,0))</f>
        <v>L</v>
      </c>
      <c r="K766" s="11">
        <f>INDEX(products!$A$2:$G$49,MATCH(orders!$D766,products!$A$2:$A$49,0),MATCH(orders!K$1,products!$A$1:$G$1,0))</f>
        <v>2.5</v>
      </c>
      <c r="L766" s="12">
        <f>INDEX(products!$A$2:$G$49,MATCH(orders!$D766,products!$A$2:$A$49,0),MATCH(orders!L$1,products!$A$1:$G$1,0))</f>
        <v>29.784999999999997</v>
      </c>
      <c r="M766" s="12">
        <f t="shared" si="33"/>
        <v>178.70999999999998</v>
      </c>
      <c r="N766" s="10" t="str">
        <f t="shared" si="34"/>
        <v>Arabica</v>
      </c>
      <c r="O766" s="10" t="str">
        <f t="shared" si="35"/>
        <v>Light</v>
      </c>
      <c r="P766" s="10" t="str">
        <f>_xlfn.XLOOKUP(Tableau1[[#This Row],[Customer ID]],customers!A$2:A$1001,customers!I$2:I$1001)</f>
        <v>Yes</v>
      </c>
    </row>
    <row r="767" spans="1:16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9" t="str">
        <f>_xlfn.XLOOKUP(orders!C767,customers!$A$2:$A$1001,customers!$B$2:$B$1001)</f>
        <v>Rafferty Pursglove</v>
      </c>
      <c r="G767" s="9" t="str">
        <f>IF(_xlfn.XLOOKUP(orders!C767,customers!$A$2:$A$1001,customers!$C$2:$C$1001,,,)=0,"",_xlfn.XLOOKUP(orders!C767,customers!$A$2:$A$1001,customers!$C$2:$C$1001,,,))</f>
        <v>rpursglovel9@biblegateway.com</v>
      </c>
      <c r="H767" s="9" t="str">
        <f>_xlfn.XLOOKUP(C767,customers!$A$2:$A$1001,customers!$G$2:$G$1001,"")</f>
        <v>United States</v>
      </c>
      <c r="I767" s="10" t="str">
        <f>INDEX(products!$A$2:$G$49,MATCH(orders!$D767,products!$A$2:$A$49,0),MATCH(orders!I$1,products!$A$1:$G$1,0))</f>
        <v>Rob</v>
      </c>
      <c r="J767" s="10" t="str">
        <f>INDEX(products!$A$2:$G$49,MATCH(orders!$D767,products!$A$2:$A$49,0),MATCH(orders!J$1,products!$A$1:$G$1,0))</f>
        <v>M</v>
      </c>
      <c r="K767" s="11">
        <f>INDEX(products!$A$2:$G$49,MATCH(orders!$D767,products!$A$2:$A$49,0),MATCH(orders!K$1,products!$A$1:$G$1,0))</f>
        <v>1</v>
      </c>
      <c r="L767" s="12">
        <f>INDEX(products!$A$2:$G$49,MATCH(orders!$D767,products!$A$2:$A$49,0),MATCH(orders!L$1,products!$A$1:$G$1,0))</f>
        <v>9.9499999999999993</v>
      </c>
      <c r="M767" s="12">
        <f t="shared" si="33"/>
        <v>59.699999999999996</v>
      </c>
      <c r="N767" s="10" t="str">
        <f t="shared" si="34"/>
        <v>Robusta</v>
      </c>
      <c r="O767" s="10" t="str">
        <f t="shared" si="35"/>
        <v>Medium</v>
      </c>
      <c r="P767" s="10" t="str">
        <f>_xlfn.XLOOKUP(Tableau1[[#This Row],[Customer ID]],customers!A$2:A$1001,customers!I$2:I$1001)</f>
        <v>Yes</v>
      </c>
    </row>
    <row r="768" spans="1:16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9" t="str">
        <f>_xlfn.XLOOKUP(orders!C768,customers!$A$2:$A$1001,customers!$B$2:$B$1001)</f>
        <v>Rafferty Pursglove</v>
      </c>
      <c r="G768" s="9" t="str">
        <f>IF(_xlfn.XLOOKUP(orders!C768,customers!$A$2:$A$1001,customers!$C$2:$C$1001,,,)=0,"",_xlfn.XLOOKUP(orders!C768,customers!$A$2:$A$1001,customers!$C$2:$C$1001,,,))</f>
        <v>rpursglovel9@biblegateway.com</v>
      </c>
      <c r="H768" s="9" t="str">
        <f>_xlfn.XLOOKUP(C768,customers!$A$2:$A$1001,customers!$G$2:$G$1001,"")</f>
        <v>United States</v>
      </c>
      <c r="I768" s="10" t="str">
        <f>INDEX(products!$A$2:$G$49,MATCH(orders!$D768,products!$A$2:$A$49,0),MATCH(orders!I$1,products!$A$1:$G$1,0))</f>
        <v>Ara</v>
      </c>
      <c r="J768" s="10" t="str">
        <f>INDEX(products!$A$2:$G$49,MATCH(orders!$D768,products!$A$2:$A$49,0),MATCH(orders!J$1,products!$A$1:$G$1,0))</f>
        <v>L</v>
      </c>
      <c r="K768" s="11">
        <f>INDEX(products!$A$2:$G$49,MATCH(orders!$D768,products!$A$2:$A$49,0),MATCH(orders!K$1,products!$A$1:$G$1,0))</f>
        <v>0.5</v>
      </c>
      <c r="L768" s="12">
        <f>INDEX(products!$A$2:$G$49,MATCH(orders!$D768,products!$A$2:$A$49,0),MATCH(orders!L$1,products!$A$1:$G$1,0))</f>
        <v>7.77</v>
      </c>
      <c r="M768" s="12">
        <f t="shared" si="33"/>
        <v>15.54</v>
      </c>
      <c r="N768" s="10" t="str">
        <f t="shared" si="34"/>
        <v>Arabica</v>
      </c>
      <c r="O768" s="10" t="str">
        <f t="shared" si="35"/>
        <v>Light</v>
      </c>
      <c r="P768" s="10" t="str">
        <f>_xlfn.XLOOKUP(Tableau1[[#This Row],[Customer ID]],customers!A$2:A$1001,customers!I$2:I$1001)</f>
        <v>Yes</v>
      </c>
    </row>
    <row r="769" spans="1:16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9" t="str">
        <f>_xlfn.XLOOKUP(orders!C769,customers!$A$2:$A$1001,customers!$B$2:$B$1001)</f>
        <v>Foster Constance</v>
      </c>
      <c r="G769" s="9" t="str">
        <f>IF(_xlfn.XLOOKUP(orders!C769,customers!$A$2:$A$1001,customers!$C$2:$C$1001,,,)=0,"",_xlfn.XLOOKUP(orders!C769,customers!$A$2:$A$1001,customers!$C$2:$C$1001,,,))</f>
        <v>fconstancekz@ifeng.com</v>
      </c>
      <c r="H769" s="9" t="str">
        <f>_xlfn.XLOOKUP(C769,customers!$A$2:$A$1001,customers!$G$2:$G$1001,"")</f>
        <v>United States</v>
      </c>
      <c r="I769" s="10" t="str">
        <f>INDEX(products!$A$2:$G$49,MATCH(orders!$D769,products!$A$2:$A$49,0),MATCH(orders!I$1,products!$A$1:$G$1,0))</f>
        <v>Ara</v>
      </c>
      <c r="J769" s="10" t="str">
        <f>INDEX(products!$A$2:$G$49,MATCH(orders!$D769,products!$A$2:$A$49,0),MATCH(orders!J$1,products!$A$1:$G$1,0))</f>
        <v>L</v>
      </c>
      <c r="K769" s="11">
        <f>INDEX(products!$A$2:$G$49,MATCH(orders!$D769,products!$A$2:$A$49,0),MATCH(orders!K$1,products!$A$1:$G$1,0))</f>
        <v>2.5</v>
      </c>
      <c r="L769" s="12">
        <f>INDEX(products!$A$2:$G$49,MATCH(orders!$D769,products!$A$2:$A$49,0),MATCH(orders!L$1,products!$A$1:$G$1,0))</f>
        <v>29.784999999999997</v>
      </c>
      <c r="M769" s="12">
        <f t="shared" si="33"/>
        <v>89.35499999999999</v>
      </c>
      <c r="N769" s="10" t="str">
        <f t="shared" si="34"/>
        <v>Arabica</v>
      </c>
      <c r="O769" s="10" t="str">
        <f t="shared" si="35"/>
        <v>Light</v>
      </c>
      <c r="P769" s="10" t="str">
        <f>_xlfn.XLOOKUP(Tableau1[[#This Row],[Customer ID]],customers!A$2:A$1001,customers!I$2:I$1001)</f>
        <v>No</v>
      </c>
    </row>
    <row r="770" spans="1:16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9" t="str">
        <f>_xlfn.XLOOKUP(orders!C770,customers!$A$2:$A$1001,customers!$B$2:$B$1001)</f>
        <v>Foster Constance</v>
      </c>
      <c r="G770" s="9" t="str">
        <f>IF(_xlfn.XLOOKUP(orders!C770,customers!$A$2:$A$1001,customers!$C$2:$C$1001,,,)=0,"",_xlfn.XLOOKUP(orders!C770,customers!$A$2:$A$1001,customers!$C$2:$C$1001,,,))</f>
        <v>fconstancekz@ifeng.com</v>
      </c>
      <c r="H770" s="9" t="str">
        <f>_xlfn.XLOOKUP(C770,customers!$A$2:$A$1001,customers!$G$2:$G$1001,"")</f>
        <v>United States</v>
      </c>
      <c r="I770" s="10" t="str">
        <f>INDEX(products!$A$2:$G$49,MATCH(orders!$D770,products!$A$2:$A$49,0),MATCH(orders!I$1,products!$A$1:$G$1,0))</f>
        <v>Rob</v>
      </c>
      <c r="J770" s="10" t="str">
        <f>INDEX(products!$A$2:$G$49,MATCH(orders!$D770,products!$A$2:$A$49,0),MATCH(orders!J$1,products!$A$1:$G$1,0))</f>
        <v>L</v>
      </c>
      <c r="K770" s="11">
        <f>INDEX(products!$A$2:$G$49,MATCH(orders!$D770,products!$A$2:$A$49,0),MATCH(orders!K$1,products!$A$1:$G$1,0))</f>
        <v>1</v>
      </c>
      <c r="L770" s="12">
        <f>INDEX(products!$A$2:$G$49,MATCH(orders!$D770,products!$A$2:$A$49,0),MATCH(orders!L$1,products!$A$1:$G$1,0))</f>
        <v>11.95</v>
      </c>
      <c r="M770" s="12">
        <f t="shared" si="33"/>
        <v>23.9</v>
      </c>
      <c r="N770" s="10" t="str">
        <f t="shared" si="34"/>
        <v>Robusta</v>
      </c>
      <c r="O770" s="10" t="str">
        <f t="shared" si="35"/>
        <v>Light</v>
      </c>
      <c r="P770" s="10" t="str">
        <f>_xlfn.XLOOKUP(Tableau1[[#This Row],[Customer ID]],customers!A$2:A$1001,customers!I$2:I$1001)</f>
        <v>No</v>
      </c>
    </row>
    <row r="771" spans="1:16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9" t="str">
        <f>_xlfn.XLOOKUP(orders!C771,customers!$A$2:$A$1001,customers!$B$2:$B$1001)</f>
        <v>Dalia Eburah</v>
      </c>
      <c r="G771" s="9" t="str">
        <f>IF(_xlfn.XLOOKUP(orders!C771,customers!$A$2:$A$1001,customers!$C$2:$C$1001,,,)=0,"",_xlfn.XLOOKUP(orders!C771,customers!$A$2:$A$1001,customers!$C$2:$C$1001,,,))</f>
        <v>deburahld@google.co.jp</v>
      </c>
      <c r="H771" s="9" t="str">
        <f>_xlfn.XLOOKUP(C771,customers!$A$2:$A$1001,customers!$G$2:$G$1001,"")</f>
        <v>United Kingdom</v>
      </c>
      <c r="I771" s="10" t="str">
        <f>INDEX(products!$A$2:$G$49,MATCH(orders!$D771,products!$A$2:$A$49,0),MATCH(orders!I$1,products!$A$1:$G$1,0))</f>
        <v>Rob</v>
      </c>
      <c r="J771" s="10" t="str">
        <f>INDEX(products!$A$2:$G$49,MATCH(orders!$D771,products!$A$2:$A$49,0),MATCH(orders!J$1,products!$A$1:$G$1,0))</f>
        <v>M</v>
      </c>
      <c r="K771" s="11">
        <f>INDEX(products!$A$2:$G$49,MATCH(orders!$D771,products!$A$2:$A$49,0),MATCH(orders!K$1,products!$A$1:$G$1,0))</f>
        <v>2.5</v>
      </c>
      <c r="L771" s="12">
        <f>INDEX(products!$A$2:$G$49,MATCH(orders!$D771,products!$A$2:$A$49,0),MATCH(orders!L$1,products!$A$1:$G$1,0))</f>
        <v>22.884999999999998</v>
      </c>
      <c r="M771" s="12">
        <f t="shared" ref="M771:M834" si="36">L771*E771</f>
        <v>137.31</v>
      </c>
      <c r="N771" s="10" t="str">
        <f t="shared" ref="N771:N834" si="37">IF(I771="Rob","Robusta",IF(I771="Exc","Excelsa",IF(I771="Ara","Arabica",IF(I771="Lib","Liberica"))))</f>
        <v>Robusta</v>
      </c>
      <c r="O771" s="10" t="str">
        <f t="shared" ref="O771:O834" si="38">IF(J771="M","Medium",IF(J771="L","Light",IF(J771="D","Dark")))</f>
        <v>Medium</v>
      </c>
      <c r="P771" s="10" t="str">
        <f>_xlfn.XLOOKUP(Tableau1[[#This Row],[Customer ID]],customers!A$2:A$1001,customers!I$2:I$1001)</f>
        <v>No</v>
      </c>
    </row>
    <row r="772" spans="1:16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9" t="str">
        <f>_xlfn.XLOOKUP(orders!C772,customers!$A$2:$A$1001,customers!$B$2:$B$1001)</f>
        <v>Martie Brimilcombe</v>
      </c>
      <c r="G772" s="9" t="str">
        <f>IF(_xlfn.XLOOKUP(orders!C772,customers!$A$2:$A$1001,customers!$C$2:$C$1001,,,)=0,"",_xlfn.XLOOKUP(orders!C772,customers!$A$2:$A$1001,customers!$C$2:$C$1001,,,))</f>
        <v>mbrimilcombele@cnn.com</v>
      </c>
      <c r="H772" s="9" t="str">
        <f>_xlfn.XLOOKUP(C772,customers!$A$2:$A$1001,customers!$G$2:$G$1001,"")</f>
        <v>United States</v>
      </c>
      <c r="I772" s="10" t="str">
        <f>INDEX(products!$A$2:$G$49,MATCH(orders!$D772,products!$A$2:$A$49,0),MATCH(orders!I$1,products!$A$1:$G$1,0))</f>
        <v>Ara</v>
      </c>
      <c r="J772" s="10" t="str">
        <f>INDEX(products!$A$2:$G$49,MATCH(orders!$D772,products!$A$2:$A$49,0),MATCH(orders!J$1,products!$A$1:$G$1,0))</f>
        <v>D</v>
      </c>
      <c r="K772" s="11">
        <f>INDEX(products!$A$2:$G$49,MATCH(orders!$D772,products!$A$2:$A$49,0),MATCH(orders!K$1,products!$A$1:$G$1,0))</f>
        <v>1</v>
      </c>
      <c r="L772" s="12">
        <f>INDEX(products!$A$2:$G$49,MATCH(orders!$D772,products!$A$2:$A$49,0),MATCH(orders!L$1,products!$A$1:$G$1,0))</f>
        <v>9.9499999999999993</v>
      </c>
      <c r="M772" s="12">
        <f t="shared" si="36"/>
        <v>9.9499999999999993</v>
      </c>
      <c r="N772" s="10" t="str">
        <f t="shared" si="37"/>
        <v>Arabica</v>
      </c>
      <c r="O772" s="10" t="str">
        <f t="shared" si="38"/>
        <v>Dark</v>
      </c>
      <c r="P772" s="10" t="str">
        <f>_xlfn.XLOOKUP(Tableau1[[#This Row],[Customer ID]],customers!A$2:A$1001,customers!I$2:I$1001)</f>
        <v>No</v>
      </c>
    </row>
    <row r="773" spans="1:16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9" t="str">
        <f>_xlfn.XLOOKUP(orders!C773,customers!$A$2:$A$1001,customers!$B$2:$B$1001)</f>
        <v>Suzanna Bollam</v>
      </c>
      <c r="G773" s="9" t="str">
        <f>IF(_xlfn.XLOOKUP(orders!C773,customers!$A$2:$A$1001,customers!$C$2:$C$1001,,,)=0,"",_xlfn.XLOOKUP(orders!C773,customers!$A$2:$A$1001,customers!$C$2:$C$1001,,,))</f>
        <v>sbollamlf@list-manage.com</v>
      </c>
      <c r="H773" s="9" t="str">
        <f>_xlfn.XLOOKUP(C773,customers!$A$2:$A$1001,customers!$G$2:$G$1001,"")</f>
        <v>United States</v>
      </c>
      <c r="I773" s="10" t="str">
        <f>INDEX(products!$A$2:$G$49,MATCH(orders!$D773,products!$A$2:$A$49,0),MATCH(orders!I$1,products!$A$1:$G$1,0))</f>
        <v>Rob</v>
      </c>
      <c r="J773" s="10" t="str">
        <f>INDEX(products!$A$2:$G$49,MATCH(orders!$D773,products!$A$2:$A$49,0),MATCH(orders!J$1,products!$A$1:$G$1,0))</f>
        <v>L</v>
      </c>
      <c r="K773" s="11">
        <f>INDEX(products!$A$2:$G$49,MATCH(orders!$D773,products!$A$2:$A$49,0),MATCH(orders!K$1,products!$A$1:$G$1,0))</f>
        <v>0.5</v>
      </c>
      <c r="L773" s="12">
        <f>INDEX(products!$A$2:$G$49,MATCH(orders!$D773,products!$A$2:$A$49,0),MATCH(orders!L$1,products!$A$1:$G$1,0))</f>
        <v>7.169999999999999</v>
      </c>
      <c r="M773" s="12">
        <f t="shared" si="36"/>
        <v>21.509999999999998</v>
      </c>
      <c r="N773" s="10" t="str">
        <f t="shared" si="37"/>
        <v>Robusta</v>
      </c>
      <c r="O773" s="10" t="str">
        <f t="shared" si="38"/>
        <v>Light</v>
      </c>
      <c r="P773" s="10" t="str">
        <f>_xlfn.XLOOKUP(Tableau1[[#This Row],[Customer ID]],customers!A$2:A$1001,customers!I$2:I$1001)</f>
        <v>No</v>
      </c>
    </row>
    <row r="774" spans="1:16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9" t="str">
        <f>_xlfn.XLOOKUP(orders!C774,customers!$A$2:$A$1001,customers!$B$2:$B$1001)</f>
        <v>Mellisa Mebes</v>
      </c>
      <c r="G774" s="9" t="str">
        <f>IF(_xlfn.XLOOKUP(orders!C774,customers!$A$2:$A$1001,customers!$C$2:$C$1001,,,)=0,"",_xlfn.XLOOKUP(orders!C774,customers!$A$2:$A$1001,customers!$C$2:$C$1001,,,))</f>
        <v/>
      </c>
      <c r="H774" s="9" t="str">
        <f>_xlfn.XLOOKUP(C774,customers!$A$2:$A$1001,customers!$G$2:$G$1001,"")</f>
        <v>United States</v>
      </c>
      <c r="I774" s="10" t="str">
        <f>INDEX(products!$A$2:$G$49,MATCH(orders!$D774,products!$A$2:$A$49,0),MATCH(orders!I$1,products!$A$1:$G$1,0))</f>
        <v>Exc</v>
      </c>
      <c r="J774" s="10" t="str">
        <f>INDEX(products!$A$2:$G$49,MATCH(orders!$D774,products!$A$2:$A$49,0),MATCH(orders!J$1,products!$A$1:$G$1,0))</f>
        <v>M</v>
      </c>
      <c r="K774" s="11">
        <f>INDEX(products!$A$2:$G$49,MATCH(orders!$D774,products!$A$2:$A$49,0),MATCH(orders!K$1,products!$A$1:$G$1,0))</f>
        <v>1</v>
      </c>
      <c r="L774" s="12">
        <f>INDEX(products!$A$2:$G$49,MATCH(orders!$D774,products!$A$2:$A$49,0),MATCH(orders!L$1,products!$A$1:$G$1,0))</f>
        <v>13.75</v>
      </c>
      <c r="M774" s="12">
        <f t="shared" si="36"/>
        <v>82.5</v>
      </c>
      <c r="N774" s="10" t="str">
        <f t="shared" si="37"/>
        <v>Excelsa</v>
      </c>
      <c r="O774" s="10" t="str">
        <f t="shared" si="38"/>
        <v>Medium</v>
      </c>
      <c r="P774" s="10" t="str">
        <f>_xlfn.XLOOKUP(Tableau1[[#This Row],[Customer ID]],customers!A$2:A$1001,customers!I$2:I$1001)</f>
        <v>No</v>
      </c>
    </row>
    <row r="775" spans="1:16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9" t="str">
        <f>_xlfn.XLOOKUP(orders!C775,customers!$A$2:$A$1001,customers!$B$2:$B$1001)</f>
        <v>Alva Filipczak</v>
      </c>
      <c r="G775" s="9" t="str">
        <f>IF(_xlfn.XLOOKUP(orders!C775,customers!$A$2:$A$1001,customers!$C$2:$C$1001,,,)=0,"",_xlfn.XLOOKUP(orders!C775,customers!$A$2:$A$1001,customers!$C$2:$C$1001,,,))</f>
        <v>afilipczaklh@ning.com</v>
      </c>
      <c r="H775" s="9" t="str">
        <f>_xlfn.XLOOKUP(C775,customers!$A$2:$A$1001,customers!$G$2:$G$1001,"")</f>
        <v>Ireland</v>
      </c>
      <c r="I775" s="10" t="str">
        <f>INDEX(products!$A$2:$G$49,MATCH(orders!$D775,products!$A$2:$A$49,0),MATCH(orders!I$1,products!$A$1:$G$1,0))</f>
        <v>Lib</v>
      </c>
      <c r="J775" s="10" t="str">
        <f>INDEX(products!$A$2:$G$49,MATCH(orders!$D775,products!$A$2:$A$49,0),MATCH(orders!J$1,products!$A$1:$G$1,0))</f>
        <v>M</v>
      </c>
      <c r="K775" s="11">
        <f>INDEX(products!$A$2:$G$49,MATCH(orders!$D775,products!$A$2:$A$49,0),MATCH(orders!K$1,products!$A$1:$G$1,0))</f>
        <v>0.2</v>
      </c>
      <c r="L775" s="12">
        <f>INDEX(products!$A$2:$G$49,MATCH(orders!$D775,products!$A$2:$A$49,0),MATCH(orders!L$1,products!$A$1:$G$1,0))</f>
        <v>4.3650000000000002</v>
      </c>
      <c r="M775" s="12">
        <f t="shared" si="36"/>
        <v>8.73</v>
      </c>
      <c r="N775" s="10" t="str">
        <f t="shared" si="37"/>
        <v>Liberica</v>
      </c>
      <c r="O775" s="10" t="str">
        <f t="shared" si="38"/>
        <v>Medium</v>
      </c>
      <c r="P775" s="10" t="str">
        <f>_xlfn.XLOOKUP(Tableau1[[#This Row],[Customer ID]],customers!A$2:A$1001,customers!I$2:I$1001)</f>
        <v>No</v>
      </c>
    </row>
    <row r="776" spans="1:16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9" t="str">
        <f>_xlfn.XLOOKUP(orders!C776,customers!$A$2:$A$1001,customers!$B$2:$B$1001)</f>
        <v>Dorette Hinemoor</v>
      </c>
      <c r="G776" s="9" t="str">
        <f>IF(_xlfn.XLOOKUP(orders!C776,customers!$A$2:$A$1001,customers!$C$2:$C$1001,,,)=0,"",_xlfn.XLOOKUP(orders!C776,customers!$A$2:$A$1001,customers!$C$2:$C$1001,,,))</f>
        <v/>
      </c>
      <c r="H776" s="9" t="str">
        <f>_xlfn.XLOOKUP(C776,customers!$A$2:$A$1001,customers!$G$2:$G$1001,"")</f>
        <v>United States</v>
      </c>
      <c r="I776" s="10" t="str">
        <f>INDEX(products!$A$2:$G$49,MATCH(orders!$D776,products!$A$2:$A$49,0),MATCH(orders!I$1,products!$A$1:$G$1,0))</f>
        <v>Rob</v>
      </c>
      <c r="J776" s="10" t="str">
        <f>INDEX(products!$A$2:$G$49,MATCH(orders!$D776,products!$A$2:$A$49,0),MATCH(orders!J$1,products!$A$1:$G$1,0))</f>
        <v>M</v>
      </c>
      <c r="K776" s="11">
        <f>INDEX(products!$A$2:$G$49,MATCH(orders!$D776,products!$A$2:$A$49,0),MATCH(orders!K$1,products!$A$1:$G$1,0))</f>
        <v>1</v>
      </c>
      <c r="L776" s="12">
        <f>INDEX(products!$A$2:$G$49,MATCH(orders!$D776,products!$A$2:$A$49,0),MATCH(orders!L$1,products!$A$1:$G$1,0))</f>
        <v>9.9499999999999993</v>
      </c>
      <c r="M776" s="12">
        <f t="shared" si="36"/>
        <v>19.899999999999999</v>
      </c>
      <c r="N776" s="10" t="str">
        <f t="shared" si="37"/>
        <v>Robusta</v>
      </c>
      <c r="O776" s="10" t="str">
        <f t="shared" si="38"/>
        <v>Medium</v>
      </c>
      <c r="P776" s="10" t="str">
        <f>_xlfn.XLOOKUP(Tableau1[[#This Row],[Customer ID]],customers!A$2:A$1001,customers!I$2:I$1001)</f>
        <v>Yes</v>
      </c>
    </row>
    <row r="777" spans="1:16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9" t="str">
        <f>_xlfn.XLOOKUP(orders!C777,customers!$A$2:$A$1001,customers!$B$2:$B$1001)</f>
        <v>Rhetta Elnaugh</v>
      </c>
      <c r="G777" s="9" t="str">
        <f>IF(_xlfn.XLOOKUP(orders!C777,customers!$A$2:$A$1001,customers!$C$2:$C$1001,,,)=0,"",_xlfn.XLOOKUP(orders!C777,customers!$A$2:$A$1001,customers!$C$2:$C$1001,,,))</f>
        <v>relnaughlj@comsenz.com</v>
      </c>
      <c r="H777" s="9" t="str">
        <f>_xlfn.XLOOKUP(C777,customers!$A$2:$A$1001,customers!$G$2:$G$1001,"")</f>
        <v>United States</v>
      </c>
      <c r="I777" s="10" t="str">
        <f>INDEX(products!$A$2:$G$49,MATCH(orders!$D777,products!$A$2:$A$49,0),MATCH(orders!I$1,products!$A$1:$G$1,0))</f>
        <v>Exc</v>
      </c>
      <c r="J777" s="10" t="str">
        <f>INDEX(products!$A$2:$G$49,MATCH(orders!$D777,products!$A$2:$A$49,0),MATCH(orders!J$1,products!$A$1:$G$1,0))</f>
        <v>L</v>
      </c>
      <c r="K777" s="11">
        <f>INDEX(products!$A$2:$G$49,MATCH(orders!$D777,products!$A$2:$A$49,0),MATCH(orders!K$1,products!$A$1:$G$1,0))</f>
        <v>0.5</v>
      </c>
      <c r="L777" s="12">
        <f>INDEX(products!$A$2:$G$49,MATCH(orders!$D777,products!$A$2:$A$49,0),MATCH(orders!L$1,products!$A$1:$G$1,0))</f>
        <v>8.91</v>
      </c>
      <c r="M777" s="12">
        <f t="shared" si="36"/>
        <v>17.82</v>
      </c>
      <c r="N777" s="10" t="str">
        <f t="shared" si="37"/>
        <v>Excelsa</v>
      </c>
      <c r="O777" s="10" t="str">
        <f t="shared" si="38"/>
        <v>Light</v>
      </c>
      <c r="P777" s="10" t="str">
        <f>_xlfn.XLOOKUP(Tableau1[[#This Row],[Customer ID]],customers!A$2:A$1001,customers!I$2:I$1001)</f>
        <v>Yes</v>
      </c>
    </row>
    <row r="778" spans="1:16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9" t="str">
        <f>_xlfn.XLOOKUP(orders!C778,customers!$A$2:$A$1001,customers!$B$2:$B$1001)</f>
        <v>Jule Deehan</v>
      </c>
      <c r="G778" s="9" t="str">
        <f>IF(_xlfn.XLOOKUP(orders!C778,customers!$A$2:$A$1001,customers!$C$2:$C$1001,,,)=0,"",_xlfn.XLOOKUP(orders!C778,customers!$A$2:$A$1001,customers!$C$2:$C$1001,,,))</f>
        <v>jdeehanlk@about.me</v>
      </c>
      <c r="H778" s="9" t="str">
        <f>_xlfn.XLOOKUP(C778,customers!$A$2:$A$1001,customers!$G$2:$G$1001,"")</f>
        <v>United States</v>
      </c>
      <c r="I778" s="10" t="str">
        <f>INDEX(products!$A$2:$G$49,MATCH(orders!$D778,products!$A$2:$A$49,0),MATCH(orders!I$1,products!$A$1:$G$1,0))</f>
        <v>Ara</v>
      </c>
      <c r="J778" s="10" t="str">
        <f>INDEX(products!$A$2:$G$49,MATCH(orders!$D778,products!$A$2:$A$49,0),MATCH(orders!J$1,products!$A$1:$G$1,0))</f>
        <v>M</v>
      </c>
      <c r="K778" s="11">
        <f>INDEX(products!$A$2:$G$49,MATCH(orders!$D778,products!$A$2:$A$49,0),MATCH(orders!K$1,products!$A$1:$G$1,0))</f>
        <v>0.5</v>
      </c>
      <c r="L778" s="12">
        <f>INDEX(products!$A$2:$G$49,MATCH(orders!$D778,products!$A$2:$A$49,0),MATCH(orders!L$1,products!$A$1:$G$1,0))</f>
        <v>6.75</v>
      </c>
      <c r="M778" s="12">
        <f t="shared" si="36"/>
        <v>20.25</v>
      </c>
      <c r="N778" s="10" t="str">
        <f t="shared" si="37"/>
        <v>Arabica</v>
      </c>
      <c r="O778" s="10" t="str">
        <f t="shared" si="38"/>
        <v>Medium</v>
      </c>
      <c r="P778" s="10" t="str">
        <f>_xlfn.XLOOKUP(Tableau1[[#This Row],[Customer ID]],customers!A$2:A$1001,customers!I$2:I$1001)</f>
        <v>No</v>
      </c>
    </row>
    <row r="779" spans="1:16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9" t="str">
        <f>_xlfn.XLOOKUP(orders!C779,customers!$A$2:$A$1001,customers!$B$2:$B$1001)</f>
        <v>Janella Eden</v>
      </c>
      <c r="G779" s="9" t="str">
        <f>IF(_xlfn.XLOOKUP(orders!C779,customers!$A$2:$A$1001,customers!$C$2:$C$1001,,,)=0,"",_xlfn.XLOOKUP(orders!C779,customers!$A$2:$A$1001,customers!$C$2:$C$1001,,,))</f>
        <v>jedenll@e-recht24.de</v>
      </c>
      <c r="H779" s="9" t="str">
        <f>_xlfn.XLOOKUP(C779,customers!$A$2:$A$1001,customers!$G$2:$G$1001,"")</f>
        <v>United States</v>
      </c>
      <c r="I779" s="10" t="str">
        <f>INDEX(products!$A$2:$G$49,MATCH(orders!$D779,products!$A$2:$A$49,0),MATCH(orders!I$1,products!$A$1:$G$1,0))</f>
        <v>Ara</v>
      </c>
      <c r="J779" s="10" t="str">
        <f>INDEX(products!$A$2:$G$49,MATCH(orders!$D779,products!$A$2:$A$49,0),MATCH(orders!J$1,products!$A$1:$G$1,0))</f>
        <v>L</v>
      </c>
      <c r="K779" s="11">
        <f>INDEX(products!$A$2:$G$49,MATCH(orders!$D779,products!$A$2:$A$49,0),MATCH(orders!K$1,products!$A$1:$G$1,0))</f>
        <v>2.5</v>
      </c>
      <c r="L779" s="12">
        <f>INDEX(products!$A$2:$G$49,MATCH(orders!$D779,products!$A$2:$A$49,0),MATCH(orders!L$1,products!$A$1:$G$1,0))</f>
        <v>29.784999999999997</v>
      </c>
      <c r="M779" s="12">
        <f t="shared" si="36"/>
        <v>59.569999999999993</v>
      </c>
      <c r="N779" s="10" t="str">
        <f t="shared" si="37"/>
        <v>Arabica</v>
      </c>
      <c r="O779" s="10" t="str">
        <f t="shared" si="38"/>
        <v>Light</v>
      </c>
      <c r="P779" s="10" t="str">
        <f>_xlfn.XLOOKUP(Tableau1[[#This Row],[Customer ID]],customers!A$2:A$1001,customers!I$2:I$1001)</f>
        <v>No</v>
      </c>
    </row>
    <row r="780" spans="1:16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9" t="str">
        <f>_xlfn.XLOOKUP(orders!C780,customers!$A$2:$A$1001,customers!$B$2:$B$1001)</f>
        <v>Cam Jewster</v>
      </c>
      <c r="G780" s="9" t="str">
        <f>IF(_xlfn.XLOOKUP(orders!C780,customers!$A$2:$A$1001,customers!$C$2:$C$1001,,,)=0,"",_xlfn.XLOOKUP(orders!C780,customers!$A$2:$A$1001,customers!$C$2:$C$1001,,,))</f>
        <v>cjewsterlu@moonfruit.com</v>
      </c>
      <c r="H780" s="9" t="str">
        <f>_xlfn.XLOOKUP(C780,customers!$A$2:$A$1001,customers!$G$2:$G$1001,"")</f>
        <v>United States</v>
      </c>
      <c r="I780" s="10" t="str">
        <f>INDEX(products!$A$2:$G$49,MATCH(orders!$D780,products!$A$2:$A$49,0),MATCH(orders!I$1,products!$A$1:$G$1,0))</f>
        <v>Lib</v>
      </c>
      <c r="J780" s="10" t="str">
        <f>INDEX(products!$A$2:$G$49,MATCH(orders!$D780,products!$A$2:$A$49,0),MATCH(orders!J$1,products!$A$1:$G$1,0))</f>
        <v>L</v>
      </c>
      <c r="K780" s="11">
        <f>INDEX(products!$A$2:$G$49,MATCH(orders!$D780,products!$A$2:$A$49,0),MATCH(orders!K$1,products!$A$1:$G$1,0))</f>
        <v>0.5</v>
      </c>
      <c r="L780" s="12">
        <f>INDEX(products!$A$2:$G$49,MATCH(orders!$D780,products!$A$2:$A$49,0),MATCH(orders!L$1,products!$A$1:$G$1,0))</f>
        <v>9.51</v>
      </c>
      <c r="M780" s="12">
        <f t="shared" si="36"/>
        <v>19.02</v>
      </c>
      <c r="N780" s="10" t="str">
        <f t="shared" si="37"/>
        <v>Liberica</v>
      </c>
      <c r="O780" s="10" t="str">
        <f t="shared" si="38"/>
        <v>Light</v>
      </c>
      <c r="P780" s="10" t="str">
        <f>_xlfn.XLOOKUP(Tableau1[[#This Row],[Customer ID]],customers!A$2:A$1001,customers!I$2:I$1001)</f>
        <v>Yes</v>
      </c>
    </row>
    <row r="781" spans="1:16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9" t="str">
        <f>_xlfn.XLOOKUP(orders!C781,customers!$A$2:$A$1001,customers!$B$2:$B$1001)</f>
        <v>Ugo Southerden</v>
      </c>
      <c r="G781" s="9" t="str">
        <f>IF(_xlfn.XLOOKUP(orders!C781,customers!$A$2:$A$1001,customers!$C$2:$C$1001,,,)=0,"",_xlfn.XLOOKUP(orders!C781,customers!$A$2:$A$1001,customers!$C$2:$C$1001,,,))</f>
        <v>usoutherdenln@hao123.com</v>
      </c>
      <c r="H781" s="9" t="str">
        <f>_xlfn.XLOOKUP(C781,customers!$A$2:$A$1001,customers!$G$2:$G$1001,"")</f>
        <v>United States</v>
      </c>
      <c r="I781" s="10" t="str">
        <f>INDEX(products!$A$2:$G$49,MATCH(orders!$D781,products!$A$2:$A$49,0),MATCH(orders!I$1,products!$A$1:$G$1,0))</f>
        <v>Lib</v>
      </c>
      <c r="J781" s="10" t="str">
        <f>INDEX(products!$A$2:$G$49,MATCH(orders!$D781,products!$A$2:$A$49,0),MATCH(orders!J$1,products!$A$1:$G$1,0))</f>
        <v>D</v>
      </c>
      <c r="K781" s="11">
        <f>INDEX(products!$A$2:$G$49,MATCH(orders!$D781,products!$A$2:$A$49,0),MATCH(orders!K$1,products!$A$1:$G$1,0))</f>
        <v>1</v>
      </c>
      <c r="L781" s="12">
        <f>INDEX(products!$A$2:$G$49,MATCH(orders!$D781,products!$A$2:$A$49,0),MATCH(orders!L$1,products!$A$1:$G$1,0))</f>
        <v>12.95</v>
      </c>
      <c r="M781" s="12">
        <f t="shared" si="36"/>
        <v>77.699999999999989</v>
      </c>
      <c r="N781" s="10" t="str">
        <f t="shared" si="37"/>
        <v>Liberica</v>
      </c>
      <c r="O781" s="10" t="str">
        <f t="shared" si="38"/>
        <v>Dark</v>
      </c>
      <c r="P781" s="10" t="str">
        <f>_xlfn.XLOOKUP(Tableau1[[#This Row],[Customer ID]],customers!A$2:A$1001,customers!I$2:I$1001)</f>
        <v>Yes</v>
      </c>
    </row>
    <row r="782" spans="1:16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9" t="str">
        <f>_xlfn.XLOOKUP(orders!C782,customers!$A$2:$A$1001,customers!$B$2:$B$1001)</f>
        <v>Verne Dunkerley</v>
      </c>
      <c r="G782" s="9" t="str">
        <f>IF(_xlfn.XLOOKUP(orders!C782,customers!$A$2:$A$1001,customers!$C$2:$C$1001,,,)=0,"",_xlfn.XLOOKUP(orders!C782,customers!$A$2:$A$1001,customers!$C$2:$C$1001,,,))</f>
        <v/>
      </c>
      <c r="H782" s="9" t="str">
        <f>_xlfn.XLOOKUP(C782,customers!$A$2:$A$1001,customers!$G$2:$G$1001,"")</f>
        <v>United States</v>
      </c>
      <c r="I782" s="10" t="str">
        <f>INDEX(products!$A$2:$G$49,MATCH(orders!$D782,products!$A$2:$A$49,0),MATCH(orders!I$1,products!$A$1:$G$1,0))</f>
        <v>Exc</v>
      </c>
      <c r="J782" s="10" t="str">
        <f>INDEX(products!$A$2:$G$49,MATCH(orders!$D782,products!$A$2:$A$49,0),MATCH(orders!J$1,products!$A$1:$G$1,0))</f>
        <v>M</v>
      </c>
      <c r="K782" s="11">
        <f>INDEX(products!$A$2:$G$49,MATCH(orders!$D782,products!$A$2:$A$49,0),MATCH(orders!K$1,products!$A$1:$G$1,0))</f>
        <v>1</v>
      </c>
      <c r="L782" s="12">
        <f>INDEX(products!$A$2:$G$49,MATCH(orders!$D782,products!$A$2:$A$49,0),MATCH(orders!L$1,products!$A$1:$G$1,0))</f>
        <v>13.75</v>
      </c>
      <c r="M782" s="12">
        <f t="shared" si="36"/>
        <v>41.25</v>
      </c>
      <c r="N782" s="10" t="str">
        <f t="shared" si="37"/>
        <v>Excelsa</v>
      </c>
      <c r="O782" s="10" t="str">
        <f t="shared" si="38"/>
        <v>Medium</v>
      </c>
      <c r="P782" s="10" t="str">
        <f>_xlfn.XLOOKUP(Tableau1[[#This Row],[Customer ID]],customers!A$2:A$1001,customers!I$2:I$1001)</f>
        <v>No</v>
      </c>
    </row>
    <row r="783" spans="1:16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9" t="str">
        <f>_xlfn.XLOOKUP(orders!C783,customers!$A$2:$A$1001,customers!$B$2:$B$1001)</f>
        <v>Lacee Burtenshaw</v>
      </c>
      <c r="G783" s="9" t="str">
        <f>IF(_xlfn.XLOOKUP(orders!C783,customers!$A$2:$A$1001,customers!$C$2:$C$1001,,,)=0,"",_xlfn.XLOOKUP(orders!C783,customers!$A$2:$A$1001,customers!$C$2:$C$1001,,,))</f>
        <v>lburtenshawlp@shinystat.com</v>
      </c>
      <c r="H783" s="9" t="str">
        <f>_xlfn.XLOOKUP(C783,customers!$A$2:$A$1001,customers!$G$2:$G$1001,"")</f>
        <v>United States</v>
      </c>
      <c r="I783" s="10" t="str">
        <f>INDEX(products!$A$2:$G$49,MATCH(orders!$D783,products!$A$2:$A$49,0),MATCH(orders!I$1,products!$A$1:$G$1,0))</f>
        <v>Lib</v>
      </c>
      <c r="J783" s="10" t="str">
        <f>INDEX(products!$A$2:$G$49,MATCH(orders!$D783,products!$A$2:$A$49,0),MATCH(orders!J$1,products!$A$1:$G$1,0))</f>
        <v>L</v>
      </c>
      <c r="K783" s="11">
        <f>INDEX(products!$A$2:$G$49,MATCH(orders!$D783,products!$A$2:$A$49,0),MATCH(orders!K$1,products!$A$1:$G$1,0))</f>
        <v>2.5</v>
      </c>
      <c r="L783" s="12">
        <f>INDEX(products!$A$2:$G$49,MATCH(orders!$D783,products!$A$2:$A$49,0),MATCH(orders!L$1,products!$A$1:$G$1,0))</f>
        <v>36.454999999999998</v>
      </c>
      <c r="M783" s="12">
        <f t="shared" si="36"/>
        <v>145.82</v>
      </c>
      <c r="N783" s="10" t="str">
        <f t="shared" si="37"/>
        <v>Liberica</v>
      </c>
      <c r="O783" s="10" t="str">
        <f t="shared" si="38"/>
        <v>Light</v>
      </c>
      <c r="P783" s="10" t="str">
        <f>_xlfn.XLOOKUP(Tableau1[[#This Row],[Customer ID]],customers!A$2:A$1001,customers!I$2:I$1001)</f>
        <v>No</v>
      </c>
    </row>
    <row r="784" spans="1:16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9" t="str">
        <f>_xlfn.XLOOKUP(orders!C784,customers!$A$2:$A$1001,customers!$B$2:$B$1001)</f>
        <v>Adorne Gregoratti</v>
      </c>
      <c r="G784" s="9" t="str">
        <f>IF(_xlfn.XLOOKUP(orders!C784,customers!$A$2:$A$1001,customers!$C$2:$C$1001,,,)=0,"",_xlfn.XLOOKUP(orders!C784,customers!$A$2:$A$1001,customers!$C$2:$C$1001,,,))</f>
        <v>agregorattilq@vistaprint.com</v>
      </c>
      <c r="H784" s="9" t="str">
        <f>_xlfn.XLOOKUP(C784,customers!$A$2:$A$1001,customers!$G$2:$G$1001,"")</f>
        <v>Ireland</v>
      </c>
      <c r="I784" s="10" t="str">
        <f>INDEX(products!$A$2:$G$49,MATCH(orders!$D784,products!$A$2:$A$49,0),MATCH(orders!I$1,products!$A$1:$G$1,0))</f>
        <v>Exc</v>
      </c>
      <c r="J784" s="10" t="str">
        <f>INDEX(products!$A$2:$G$49,MATCH(orders!$D784,products!$A$2:$A$49,0),MATCH(orders!J$1,products!$A$1:$G$1,0))</f>
        <v>L</v>
      </c>
      <c r="K784" s="11">
        <f>INDEX(products!$A$2:$G$49,MATCH(orders!$D784,products!$A$2:$A$49,0),MATCH(orders!K$1,products!$A$1:$G$1,0))</f>
        <v>0.2</v>
      </c>
      <c r="L784" s="12">
        <f>INDEX(products!$A$2:$G$49,MATCH(orders!$D784,products!$A$2:$A$49,0),MATCH(orders!L$1,products!$A$1:$G$1,0))</f>
        <v>4.4550000000000001</v>
      </c>
      <c r="M784" s="12">
        <f t="shared" si="36"/>
        <v>26.73</v>
      </c>
      <c r="N784" s="10" t="str">
        <f t="shared" si="37"/>
        <v>Excelsa</v>
      </c>
      <c r="O784" s="10" t="str">
        <f t="shared" si="38"/>
        <v>Light</v>
      </c>
      <c r="P784" s="10" t="str">
        <f>_xlfn.XLOOKUP(Tableau1[[#This Row],[Customer ID]],customers!A$2:A$1001,customers!I$2:I$1001)</f>
        <v>No</v>
      </c>
    </row>
    <row r="785" spans="1:16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9" t="str">
        <f>_xlfn.XLOOKUP(orders!C785,customers!$A$2:$A$1001,customers!$B$2:$B$1001)</f>
        <v>Chris Croster</v>
      </c>
      <c r="G785" s="9" t="str">
        <f>IF(_xlfn.XLOOKUP(orders!C785,customers!$A$2:$A$1001,customers!$C$2:$C$1001,,,)=0,"",_xlfn.XLOOKUP(orders!C785,customers!$A$2:$A$1001,customers!$C$2:$C$1001,,,))</f>
        <v>ccrosterlr@gov.uk</v>
      </c>
      <c r="H785" s="9" t="str">
        <f>_xlfn.XLOOKUP(C785,customers!$A$2:$A$1001,customers!$G$2:$G$1001,"")</f>
        <v>United States</v>
      </c>
      <c r="I785" s="10" t="str">
        <f>INDEX(products!$A$2:$G$49,MATCH(orders!$D785,products!$A$2:$A$49,0),MATCH(orders!I$1,products!$A$1:$G$1,0))</f>
        <v>Lib</v>
      </c>
      <c r="J785" s="10" t="str">
        <f>INDEX(products!$A$2:$G$49,MATCH(orders!$D785,products!$A$2:$A$49,0),MATCH(orders!J$1,products!$A$1:$G$1,0))</f>
        <v>M</v>
      </c>
      <c r="K785" s="11">
        <f>INDEX(products!$A$2:$G$49,MATCH(orders!$D785,products!$A$2:$A$49,0),MATCH(orders!K$1,products!$A$1:$G$1,0))</f>
        <v>0.5</v>
      </c>
      <c r="L785" s="12">
        <f>INDEX(products!$A$2:$G$49,MATCH(orders!$D785,products!$A$2:$A$49,0),MATCH(orders!L$1,products!$A$1:$G$1,0))</f>
        <v>8.73</v>
      </c>
      <c r="M785" s="12">
        <f t="shared" si="36"/>
        <v>43.650000000000006</v>
      </c>
      <c r="N785" s="10" t="str">
        <f t="shared" si="37"/>
        <v>Liberica</v>
      </c>
      <c r="O785" s="10" t="str">
        <f t="shared" si="38"/>
        <v>Medium</v>
      </c>
      <c r="P785" s="10" t="str">
        <f>_xlfn.XLOOKUP(Tableau1[[#This Row],[Customer ID]],customers!A$2:A$1001,customers!I$2:I$1001)</f>
        <v>Yes</v>
      </c>
    </row>
    <row r="786" spans="1:16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9" t="str">
        <f>_xlfn.XLOOKUP(orders!C786,customers!$A$2:$A$1001,customers!$B$2:$B$1001)</f>
        <v>Graeme Whitehead</v>
      </c>
      <c r="G786" s="9" t="str">
        <f>IF(_xlfn.XLOOKUP(orders!C786,customers!$A$2:$A$1001,customers!$C$2:$C$1001,,,)=0,"",_xlfn.XLOOKUP(orders!C786,customers!$A$2:$A$1001,customers!$C$2:$C$1001,,,))</f>
        <v>gwhiteheadls@hp.com</v>
      </c>
      <c r="H786" s="9" t="str">
        <f>_xlfn.XLOOKUP(C786,customers!$A$2:$A$1001,customers!$G$2:$G$1001,"")</f>
        <v>United States</v>
      </c>
      <c r="I786" s="10" t="str">
        <f>INDEX(products!$A$2:$G$49,MATCH(orders!$D786,products!$A$2:$A$49,0),MATCH(orders!I$1,products!$A$1:$G$1,0))</f>
        <v>Lib</v>
      </c>
      <c r="J786" s="10" t="str">
        <f>INDEX(products!$A$2:$G$49,MATCH(orders!$D786,products!$A$2:$A$49,0),MATCH(orders!J$1,products!$A$1:$G$1,0))</f>
        <v>L</v>
      </c>
      <c r="K786" s="11">
        <f>INDEX(products!$A$2:$G$49,MATCH(orders!$D786,products!$A$2:$A$49,0),MATCH(orders!K$1,products!$A$1:$G$1,0))</f>
        <v>1</v>
      </c>
      <c r="L786" s="12">
        <f>INDEX(products!$A$2:$G$49,MATCH(orders!$D786,products!$A$2:$A$49,0),MATCH(orders!L$1,products!$A$1:$G$1,0))</f>
        <v>15.85</v>
      </c>
      <c r="M786" s="12">
        <f t="shared" si="36"/>
        <v>31.7</v>
      </c>
      <c r="N786" s="10" t="str">
        <f t="shared" si="37"/>
        <v>Liberica</v>
      </c>
      <c r="O786" s="10" t="str">
        <f t="shared" si="38"/>
        <v>Light</v>
      </c>
      <c r="P786" s="10" t="str">
        <f>_xlfn.XLOOKUP(Tableau1[[#This Row],[Customer ID]],customers!A$2:A$1001,customers!I$2:I$1001)</f>
        <v>No</v>
      </c>
    </row>
    <row r="787" spans="1:16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9" t="str">
        <f>_xlfn.XLOOKUP(orders!C787,customers!$A$2:$A$1001,customers!$B$2:$B$1001)</f>
        <v>Haslett Jodrelle</v>
      </c>
      <c r="G787" s="9" t="str">
        <f>IF(_xlfn.XLOOKUP(orders!C787,customers!$A$2:$A$1001,customers!$C$2:$C$1001,,,)=0,"",_xlfn.XLOOKUP(orders!C787,customers!$A$2:$A$1001,customers!$C$2:$C$1001,,,))</f>
        <v>hjodrellelt@samsung.com</v>
      </c>
      <c r="H787" s="9" t="str">
        <f>_xlfn.XLOOKUP(C787,customers!$A$2:$A$1001,customers!$G$2:$G$1001,"")</f>
        <v>United States</v>
      </c>
      <c r="I787" s="10" t="str">
        <f>INDEX(products!$A$2:$G$49,MATCH(orders!$D787,products!$A$2:$A$49,0),MATCH(orders!I$1,products!$A$1:$G$1,0))</f>
        <v>Ara</v>
      </c>
      <c r="J787" s="10" t="str">
        <f>INDEX(products!$A$2:$G$49,MATCH(orders!$D787,products!$A$2:$A$49,0),MATCH(orders!J$1,products!$A$1:$G$1,0))</f>
        <v>D</v>
      </c>
      <c r="K787" s="11">
        <f>INDEX(products!$A$2:$G$49,MATCH(orders!$D787,products!$A$2:$A$49,0),MATCH(orders!K$1,products!$A$1:$G$1,0))</f>
        <v>2.5</v>
      </c>
      <c r="L787" s="12">
        <f>INDEX(products!$A$2:$G$49,MATCH(orders!$D787,products!$A$2:$A$49,0),MATCH(orders!L$1,products!$A$1:$G$1,0))</f>
        <v>22.884999999999998</v>
      </c>
      <c r="M787" s="12">
        <f t="shared" si="36"/>
        <v>22.884999999999998</v>
      </c>
      <c r="N787" s="10" t="str">
        <f t="shared" si="37"/>
        <v>Arabica</v>
      </c>
      <c r="O787" s="10" t="str">
        <f t="shared" si="38"/>
        <v>Dark</v>
      </c>
      <c r="P787" s="10" t="str">
        <f>_xlfn.XLOOKUP(Tableau1[[#This Row],[Customer ID]],customers!A$2:A$1001,customers!I$2:I$1001)</f>
        <v>No</v>
      </c>
    </row>
    <row r="788" spans="1:16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9" t="str">
        <f>_xlfn.XLOOKUP(orders!C788,customers!$A$2:$A$1001,customers!$B$2:$B$1001)</f>
        <v>Cam Jewster</v>
      </c>
      <c r="G788" s="9" t="str">
        <f>IF(_xlfn.XLOOKUP(orders!C788,customers!$A$2:$A$1001,customers!$C$2:$C$1001,,,)=0,"",_xlfn.XLOOKUP(orders!C788,customers!$A$2:$A$1001,customers!$C$2:$C$1001,,,))</f>
        <v>cjewsterlu@moonfruit.com</v>
      </c>
      <c r="H788" s="9" t="str">
        <f>_xlfn.XLOOKUP(C788,customers!$A$2:$A$1001,customers!$G$2:$G$1001,"")</f>
        <v>United States</v>
      </c>
      <c r="I788" s="10" t="str">
        <f>INDEX(products!$A$2:$G$49,MATCH(orders!$D788,products!$A$2:$A$49,0),MATCH(orders!I$1,products!$A$1:$G$1,0))</f>
        <v>Exc</v>
      </c>
      <c r="J788" s="10" t="str">
        <f>INDEX(products!$A$2:$G$49,MATCH(orders!$D788,products!$A$2:$A$49,0),MATCH(orders!J$1,products!$A$1:$G$1,0))</f>
        <v>D</v>
      </c>
      <c r="K788" s="11">
        <f>INDEX(products!$A$2:$G$49,MATCH(orders!$D788,products!$A$2:$A$49,0),MATCH(orders!K$1,products!$A$1:$G$1,0))</f>
        <v>2.5</v>
      </c>
      <c r="L788" s="12">
        <f>INDEX(products!$A$2:$G$49,MATCH(orders!$D788,products!$A$2:$A$49,0),MATCH(orders!L$1,products!$A$1:$G$1,0))</f>
        <v>27.945</v>
      </c>
      <c r="M788" s="12">
        <f t="shared" si="36"/>
        <v>27.945</v>
      </c>
      <c r="N788" s="10" t="str">
        <f t="shared" si="37"/>
        <v>Excelsa</v>
      </c>
      <c r="O788" s="10" t="str">
        <f t="shared" si="38"/>
        <v>Dark</v>
      </c>
      <c r="P788" s="10" t="str">
        <f>_xlfn.XLOOKUP(Tableau1[[#This Row],[Customer ID]],customers!A$2:A$1001,customers!I$2:I$1001)</f>
        <v>Yes</v>
      </c>
    </row>
    <row r="789" spans="1:16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9" t="str">
        <f>_xlfn.XLOOKUP(orders!C789,customers!$A$2:$A$1001,customers!$B$2:$B$1001)</f>
        <v>Beryl Osborn</v>
      </c>
      <c r="G789" s="9" t="str">
        <f>IF(_xlfn.XLOOKUP(orders!C789,customers!$A$2:$A$1001,customers!$C$2:$C$1001,,,)=0,"",_xlfn.XLOOKUP(orders!C789,customers!$A$2:$A$1001,customers!$C$2:$C$1001,,,))</f>
        <v/>
      </c>
      <c r="H789" s="9" t="str">
        <f>_xlfn.XLOOKUP(C789,customers!$A$2:$A$1001,customers!$G$2:$G$1001,"")</f>
        <v>United States</v>
      </c>
      <c r="I789" s="10" t="str">
        <f>INDEX(products!$A$2:$G$49,MATCH(orders!$D789,products!$A$2:$A$49,0),MATCH(orders!I$1,products!$A$1:$G$1,0))</f>
        <v>Exc</v>
      </c>
      <c r="J789" s="10" t="str">
        <f>INDEX(products!$A$2:$G$49,MATCH(orders!$D789,products!$A$2:$A$49,0),MATCH(orders!J$1,products!$A$1:$G$1,0))</f>
        <v>M</v>
      </c>
      <c r="K789" s="11">
        <f>INDEX(products!$A$2:$G$49,MATCH(orders!$D789,products!$A$2:$A$49,0),MATCH(orders!K$1,products!$A$1:$G$1,0))</f>
        <v>1</v>
      </c>
      <c r="L789" s="12">
        <f>INDEX(products!$A$2:$G$49,MATCH(orders!$D789,products!$A$2:$A$49,0),MATCH(orders!L$1,products!$A$1:$G$1,0))</f>
        <v>13.75</v>
      </c>
      <c r="M789" s="12">
        <f t="shared" si="36"/>
        <v>82.5</v>
      </c>
      <c r="N789" s="10" t="str">
        <f t="shared" si="37"/>
        <v>Excelsa</v>
      </c>
      <c r="O789" s="10" t="str">
        <f t="shared" si="38"/>
        <v>Medium</v>
      </c>
      <c r="P789" s="10" t="str">
        <f>_xlfn.XLOOKUP(Tableau1[[#This Row],[Customer ID]],customers!A$2:A$1001,customers!I$2:I$1001)</f>
        <v>Yes</v>
      </c>
    </row>
    <row r="790" spans="1:16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9" t="str">
        <f>_xlfn.XLOOKUP(orders!C790,customers!$A$2:$A$1001,customers!$B$2:$B$1001)</f>
        <v>Kaela Nottram</v>
      </c>
      <c r="G790" s="9" t="str">
        <f>IF(_xlfn.XLOOKUP(orders!C790,customers!$A$2:$A$1001,customers!$C$2:$C$1001,,,)=0,"",_xlfn.XLOOKUP(orders!C790,customers!$A$2:$A$1001,customers!$C$2:$C$1001,,,))</f>
        <v>knottramlw@odnoklassniki.ru</v>
      </c>
      <c r="H790" s="9" t="str">
        <f>_xlfn.XLOOKUP(C790,customers!$A$2:$A$1001,customers!$G$2:$G$1001,"")</f>
        <v>Ireland</v>
      </c>
      <c r="I790" s="10" t="str">
        <f>INDEX(products!$A$2:$G$49,MATCH(orders!$D790,products!$A$2:$A$49,0),MATCH(orders!I$1,products!$A$1:$G$1,0))</f>
        <v>Rob</v>
      </c>
      <c r="J790" s="10" t="str">
        <f>INDEX(products!$A$2:$G$49,MATCH(orders!$D790,products!$A$2:$A$49,0),MATCH(orders!J$1,products!$A$1:$G$1,0))</f>
        <v>M</v>
      </c>
      <c r="K790" s="11">
        <f>INDEX(products!$A$2:$G$49,MATCH(orders!$D790,products!$A$2:$A$49,0),MATCH(orders!K$1,products!$A$1:$G$1,0))</f>
        <v>2.5</v>
      </c>
      <c r="L790" s="12">
        <f>INDEX(products!$A$2:$G$49,MATCH(orders!$D790,products!$A$2:$A$49,0),MATCH(orders!L$1,products!$A$1:$G$1,0))</f>
        <v>22.884999999999998</v>
      </c>
      <c r="M790" s="12">
        <f t="shared" si="36"/>
        <v>45.769999999999996</v>
      </c>
      <c r="N790" s="10" t="str">
        <f t="shared" si="37"/>
        <v>Robusta</v>
      </c>
      <c r="O790" s="10" t="str">
        <f t="shared" si="38"/>
        <v>Medium</v>
      </c>
      <c r="P790" s="10" t="str">
        <f>_xlfn.XLOOKUP(Tableau1[[#This Row],[Customer ID]],customers!A$2:A$1001,customers!I$2:I$1001)</f>
        <v>Yes</v>
      </c>
    </row>
    <row r="791" spans="1:16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9" t="str">
        <f>_xlfn.XLOOKUP(orders!C791,customers!$A$2:$A$1001,customers!$B$2:$B$1001)</f>
        <v>Nobe Buney</v>
      </c>
      <c r="G791" s="9" t="str">
        <f>IF(_xlfn.XLOOKUP(orders!C791,customers!$A$2:$A$1001,customers!$C$2:$C$1001,,,)=0,"",_xlfn.XLOOKUP(orders!C791,customers!$A$2:$A$1001,customers!$C$2:$C$1001,,,))</f>
        <v>nbuneylx@jugem.jp</v>
      </c>
      <c r="H791" s="9" t="str">
        <f>_xlfn.XLOOKUP(C791,customers!$A$2:$A$1001,customers!$G$2:$G$1001,"")</f>
        <v>United States</v>
      </c>
      <c r="I791" s="10" t="str">
        <f>INDEX(products!$A$2:$G$49,MATCH(orders!$D791,products!$A$2:$A$49,0),MATCH(orders!I$1,products!$A$1:$G$1,0))</f>
        <v>Ara</v>
      </c>
      <c r="J791" s="10" t="str">
        <f>INDEX(products!$A$2:$G$49,MATCH(orders!$D791,products!$A$2:$A$49,0),MATCH(orders!J$1,products!$A$1:$G$1,0))</f>
        <v>L</v>
      </c>
      <c r="K791" s="11">
        <f>INDEX(products!$A$2:$G$49,MATCH(orders!$D791,products!$A$2:$A$49,0),MATCH(orders!K$1,products!$A$1:$G$1,0))</f>
        <v>1</v>
      </c>
      <c r="L791" s="12">
        <f>INDEX(products!$A$2:$G$49,MATCH(orders!$D791,products!$A$2:$A$49,0),MATCH(orders!L$1,products!$A$1:$G$1,0))</f>
        <v>12.95</v>
      </c>
      <c r="M791" s="12">
        <f t="shared" si="36"/>
        <v>77.699999999999989</v>
      </c>
      <c r="N791" s="10" t="str">
        <f t="shared" si="37"/>
        <v>Arabica</v>
      </c>
      <c r="O791" s="10" t="str">
        <f t="shared" si="38"/>
        <v>Light</v>
      </c>
      <c r="P791" s="10" t="str">
        <f>_xlfn.XLOOKUP(Tableau1[[#This Row],[Customer ID]],customers!A$2:A$1001,customers!I$2:I$1001)</f>
        <v>No</v>
      </c>
    </row>
    <row r="792" spans="1:16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9" t="str">
        <f>_xlfn.XLOOKUP(orders!C792,customers!$A$2:$A$1001,customers!$B$2:$B$1001)</f>
        <v>Silvan McShea</v>
      </c>
      <c r="G792" s="9" t="str">
        <f>IF(_xlfn.XLOOKUP(orders!C792,customers!$A$2:$A$1001,customers!$C$2:$C$1001,,,)=0,"",_xlfn.XLOOKUP(orders!C792,customers!$A$2:$A$1001,customers!$C$2:$C$1001,,,))</f>
        <v>smcshealy@photobucket.com</v>
      </c>
      <c r="H792" s="9" t="str">
        <f>_xlfn.XLOOKUP(C792,customers!$A$2:$A$1001,customers!$G$2:$G$1001,"")</f>
        <v>United States</v>
      </c>
      <c r="I792" s="10" t="str">
        <f>INDEX(products!$A$2:$G$49,MATCH(orders!$D792,products!$A$2:$A$49,0),MATCH(orders!I$1,products!$A$1:$G$1,0))</f>
        <v>Ara</v>
      </c>
      <c r="J792" s="10" t="str">
        <f>INDEX(products!$A$2:$G$49,MATCH(orders!$D792,products!$A$2:$A$49,0),MATCH(orders!J$1,products!$A$1:$G$1,0))</f>
        <v>L</v>
      </c>
      <c r="K792" s="11">
        <f>INDEX(products!$A$2:$G$49,MATCH(orders!$D792,products!$A$2:$A$49,0),MATCH(orders!K$1,products!$A$1:$G$1,0))</f>
        <v>0.5</v>
      </c>
      <c r="L792" s="12">
        <f>INDEX(products!$A$2:$G$49,MATCH(orders!$D792,products!$A$2:$A$49,0),MATCH(orders!L$1,products!$A$1:$G$1,0))</f>
        <v>7.77</v>
      </c>
      <c r="M792" s="12">
        <f t="shared" si="36"/>
        <v>23.31</v>
      </c>
      <c r="N792" s="10" t="str">
        <f t="shared" si="37"/>
        <v>Arabica</v>
      </c>
      <c r="O792" s="10" t="str">
        <f t="shared" si="38"/>
        <v>Light</v>
      </c>
      <c r="P792" s="10" t="str">
        <f>_xlfn.XLOOKUP(Tableau1[[#This Row],[Customer ID]],customers!A$2:A$1001,customers!I$2:I$1001)</f>
        <v>No</v>
      </c>
    </row>
    <row r="793" spans="1:16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9" t="str">
        <f>_xlfn.XLOOKUP(orders!C793,customers!$A$2:$A$1001,customers!$B$2:$B$1001)</f>
        <v>Karylin Huddart</v>
      </c>
      <c r="G793" s="9" t="str">
        <f>IF(_xlfn.XLOOKUP(orders!C793,customers!$A$2:$A$1001,customers!$C$2:$C$1001,,,)=0,"",_xlfn.XLOOKUP(orders!C793,customers!$A$2:$A$1001,customers!$C$2:$C$1001,,,))</f>
        <v>khuddartlz@about.com</v>
      </c>
      <c r="H793" s="9" t="str">
        <f>_xlfn.XLOOKUP(C793,customers!$A$2:$A$1001,customers!$G$2:$G$1001,"")</f>
        <v>United States</v>
      </c>
      <c r="I793" s="10" t="str">
        <f>INDEX(products!$A$2:$G$49,MATCH(orders!$D793,products!$A$2:$A$49,0),MATCH(orders!I$1,products!$A$1:$G$1,0))</f>
        <v>Lib</v>
      </c>
      <c r="J793" s="10" t="str">
        <f>INDEX(products!$A$2:$G$49,MATCH(orders!$D793,products!$A$2:$A$49,0),MATCH(orders!J$1,products!$A$1:$G$1,0))</f>
        <v>L</v>
      </c>
      <c r="K793" s="11">
        <f>INDEX(products!$A$2:$G$49,MATCH(orders!$D793,products!$A$2:$A$49,0),MATCH(orders!K$1,products!$A$1:$G$1,0))</f>
        <v>0.2</v>
      </c>
      <c r="L793" s="12">
        <f>INDEX(products!$A$2:$G$49,MATCH(orders!$D793,products!$A$2:$A$49,0),MATCH(orders!L$1,products!$A$1:$G$1,0))</f>
        <v>4.7549999999999999</v>
      </c>
      <c r="M793" s="12">
        <f t="shared" si="36"/>
        <v>23.774999999999999</v>
      </c>
      <c r="N793" s="10" t="str">
        <f t="shared" si="37"/>
        <v>Liberica</v>
      </c>
      <c r="O793" s="10" t="str">
        <f t="shared" si="38"/>
        <v>Light</v>
      </c>
      <c r="P793" s="10" t="str">
        <f>_xlfn.XLOOKUP(Tableau1[[#This Row],[Customer ID]],customers!A$2:A$1001,customers!I$2:I$1001)</f>
        <v>Yes</v>
      </c>
    </row>
    <row r="794" spans="1:16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9" t="str">
        <f>_xlfn.XLOOKUP(orders!C794,customers!$A$2:$A$1001,customers!$B$2:$B$1001)</f>
        <v>Jereme Gippes</v>
      </c>
      <c r="G794" s="9" t="str">
        <f>IF(_xlfn.XLOOKUP(orders!C794,customers!$A$2:$A$1001,customers!$C$2:$C$1001,,,)=0,"",_xlfn.XLOOKUP(orders!C794,customers!$A$2:$A$1001,customers!$C$2:$C$1001,,,))</f>
        <v>jgippesm0@cloudflare.com</v>
      </c>
      <c r="H794" s="9" t="str">
        <f>_xlfn.XLOOKUP(C794,customers!$A$2:$A$1001,customers!$G$2:$G$1001,"")</f>
        <v>United Kingdom</v>
      </c>
      <c r="I794" s="10" t="str">
        <f>INDEX(products!$A$2:$G$49,MATCH(orders!$D794,products!$A$2:$A$49,0),MATCH(orders!I$1,products!$A$1:$G$1,0))</f>
        <v>Lib</v>
      </c>
      <c r="J794" s="10" t="str">
        <f>INDEX(products!$A$2:$G$49,MATCH(orders!$D794,products!$A$2:$A$49,0),MATCH(orders!J$1,products!$A$1:$G$1,0))</f>
        <v>M</v>
      </c>
      <c r="K794" s="11">
        <f>INDEX(products!$A$2:$G$49,MATCH(orders!$D794,products!$A$2:$A$49,0),MATCH(orders!K$1,products!$A$1:$G$1,0))</f>
        <v>0.5</v>
      </c>
      <c r="L794" s="12">
        <f>INDEX(products!$A$2:$G$49,MATCH(orders!$D794,products!$A$2:$A$49,0),MATCH(orders!L$1,products!$A$1:$G$1,0))</f>
        <v>8.73</v>
      </c>
      <c r="M794" s="12">
        <f t="shared" si="36"/>
        <v>52.38</v>
      </c>
      <c r="N794" s="10" t="str">
        <f t="shared" si="37"/>
        <v>Liberica</v>
      </c>
      <c r="O794" s="10" t="str">
        <f t="shared" si="38"/>
        <v>Medium</v>
      </c>
      <c r="P794" s="10" t="str">
        <f>_xlfn.XLOOKUP(Tableau1[[#This Row],[Customer ID]],customers!A$2:A$1001,customers!I$2:I$1001)</f>
        <v>Yes</v>
      </c>
    </row>
    <row r="795" spans="1:16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9" t="str">
        <f>_xlfn.XLOOKUP(orders!C795,customers!$A$2:$A$1001,customers!$B$2:$B$1001)</f>
        <v>Lukas Whittlesee</v>
      </c>
      <c r="G795" s="9" t="str">
        <f>IF(_xlfn.XLOOKUP(orders!C795,customers!$A$2:$A$1001,customers!$C$2:$C$1001,,,)=0,"",_xlfn.XLOOKUP(orders!C795,customers!$A$2:$A$1001,customers!$C$2:$C$1001,,,))</f>
        <v>lwhittleseem1@e-recht24.de</v>
      </c>
      <c r="H795" s="9" t="str">
        <f>_xlfn.XLOOKUP(C795,customers!$A$2:$A$1001,customers!$G$2:$G$1001,"")</f>
        <v>United States</v>
      </c>
      <c r="I795" s="10" t="str">
        <f>INDEX(products!$A$2:$G$49,MATCH(orders!$D795,products!$A$2:$A$49,0),MATCH(orders!I$1,products!$A$1:$G$1,0))</f>
        <v>Rob</v>
      </c>
      <c r="J795" s="10" t="str">
        <f>INDEX(products!$A$2:$G$49,MATCH(orders!$D795,products!$A$2:$A$49,0),MATCH(orders!J$1,products!$A$1:$G$1,0))</f>
        <v>L</v>
      </c>
      <c r="K795" s="11">
        <f>INDEX(products!$A$2:$G$49,MATCH(orders!$D795,products!$A$2:$A$49,0),MATCH(orders!K$1,products!$A$1:$G$1,0))</f>
        <v>0.2</v>
      </c>
      <c r="L795" s="12">
        <f>INDEX(products!$A$2:$G$49,MATCH(orders!$D795,products!$A$2:$A$49,0),MATCH(orders!L$1,products!$A$1:$G$1,0))</f>
        <v>3.5849999999999995</v>
      </c>
      <c r="M795" s="12">
        <f t="shared" si="36"/>
        <v>17.924999999999997</v>
      </c>
      <c r="N795" s="10" t="str">
        <f t="shared" si="37"/>
        <v>Robusta</v>
      </c>
      <c r="O795" s="10" t="str">
        <f t="shared" si="38"/>
        <v>Light</v>
      </c>
      <c r="P795" s="10" t="str">
        <f>_xlfn.XLOOKUP(Tableau1[[#This Row],[Customer ID]],customers!A$2:A$1001,customers!I$2:I$1001)</f>
        <v>No</v>
      </c>
    </row>
    <row r="796" spans="1:16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9" t="str">
        <f>_xlfn.XLOOKUP(orders!C796,customers!$A$2:$A$1001,customers!$B$2:$B$1001)</f>
        <v>Gregorius Trengrove</v>
      </c>
      <c r="G796" s="9" t="str">
        <f>IF(_xlfn.XLOOKUP(orders!C796,customers!$A$2:$A$1001,customers!$C$2:$C$1001,,,)=0,"",_xlfn.XLOOKUP(orders!C796,customers!$A$2:$A$1001,customers!$C$2:$C$1001,,,))</f>
        <v>gtrengrovem2@elpais.com</v>
      </c>
      <c r="H796" s="9" t="str">
        <f>_xlfn.XLOOKUP(C796,customers!$A$2:$A$1001,customers!$G$2:$G$1001,"")</f>
        <v>United States</v>
      </c>
      <c r="I796" s="10" t="str">
        <f>INDEX(products!$A$2:$G$49,MATCH(orders!$D796,products!$A$2:$A$49,0),MATCH(orders!I$1,products!$A$1:$G$1,0))</f>
        <v>Ara</v>
      </c>
      <c r="J796" s="10" t="str">
        <f>INDEX(products!$A$2:$G$49,MATCH(orders!$D796,products!$A$2:$A$49,0),MATCH(orders!J$1,products!$A$1:$G$1,0))</f>
        <v>L</v>
      </c>
      <c r="K796" s="11">
        <f>INDEX(products!$A$2:$G$49,MATCH(orders!$D796,products!$A$2:$A$49,0),MATCH(orders!K$1,products!$A$1:$G$1,0))</f>
        <v>2.5</v>
      </c>
      <c r="L796" s="12">
        <f>INDEX(products!$A$2:$G$49,MATCH(orders!$D796,products!$A$2:$A$49,0),MATCH(orders!L$1,products!$A$1:$G$1,0))</f>
        <v>29.784999999999997</v>
      </c>
      <c r="M796" s="12">
        <f t="shared" si="36"/>
        <v>148.92499999999998</v>
      </c>
      <c r="N796" s="10" t="str">
        <f t="shared" si="37"/>
        <v>Arabica</v>
      </c>
      <c r="O796" s="10" t="str">
        <f t="shared" si="38"/>
        <v>Light</v>
      </c>
      <c r="P796" s="10" t="str">
        <f>_xlfn.XLOOKUP(Tableau1[[#This Row],[Customer ID]],customers!A$2:A$1001,customers!I$2:I$1001)</f>
        <v>No</v>
      </c>
    </row>
    <row r="797" spans="1:16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9" t="str">
        <f>_xlfn.XLOOKUP(orders!C797,customers!$A$2:$A$1001,customers!$B$2:$B$1001)</f>
        <v>Wright Caldero</v>
      </c>
      <c r="G797" s="9" t="str">
        <f>IF(_xlfn.XLOOKUP(orders!C797,customers!$A$2:$A$1001,customers!$C$2:$C$1001,,,)=0,"",_xlfn.XLOOKUP(orders!C797,customers!$A$2:$A$1001,customers!$C$2:$C$1001,,,))</f>
        <v>wcalderom3@stumbleupon.com</v>
      </c>
      <c r="H797" s="9" t="str">
        <f>_xlfn.XLOOKUP(C797,customers!$A$2:$A$1001,customers!$G$2:$G$1001,"")</f>
        <v>United States</v>
      </c>
      <c r="I797" s="10" t="str">
        <f>INDEX(products!$A$2:$G$49,MATCH(orders!$D797,products!$A$2:$A$49,0),MATCH(orders!I$1,products!$A$1:$G$1,0))</f>
        <v>Rob</v>
      </c>
      <c r="J797" s="10" t="str">
        <f>INDEX(products!$A$2:$G$49,MATCH(orders!$D797,products!$A$2:$A$49,0),MATCH(orders!J$1,products!$A$1:$G$1,0))</f>
        <v>L</v>
      </c>
      <c r="K797" s="11">
        <f>INDEX(products!$A$2:$G$49,MATCH(orders!$D797,products!$A$2:$A$49,0),MATCH(orders!K$1,products!$A$1:$G$1,0))</f>
        <v>0.5</v>
      </c>
      <c r="L797" s="12">
        <f>INDEX(products!$A$2:$G$49,MATCH(orders!$D797,products!$A$2:$A$49,0),MATCH(orders!L$1,products!$A$1:$G$1,0))</f>
        <v>7.169999999999999</v>
      </c>
      <c r="M797" s="12">
        <f t="shared" si="36"/>
        <v>28.679999999999996</v>
      </c>
      <c r="N797" s="10" t="str">
        <f t="shared" si="37"/>
        <v>Robusta</v>
      </c>
      <c r="O797" s="10" t="str">
        <f t="shared" si="38"/>
        <v>Light</v>
      </c>
      <c r="P797" s="10" t="str">
        <f>_xlfn.XLOOKUP(Tableau1[[#This Row],[Customer ID]],customers!A$2:A$1001,customers!I$2:I$1001)</f>
        <v>No</v>
      </c>
    </row>
    <row r="798" spans="1:16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9" t="str">
        <f>_xlfn.XLOOKUP(orders!C798,customers!$A$2:$A$1001,customers!$B$2:$B$1001)</f>
        <v>Merell Zanazzi</v>
      </c>
      <c r="G798" s="9" t="str">
        <f>IF(_xlfn.XLOOKUP(orders!C798,customers!$A$2:$A$1001,customers!$C$2:$C$1001,,,)=0,"",_xlfn.XLOOKUP(orders!C798,customers!$A$2:$A$1001,customers!$C$2:$C$1001,,,))</f>
        <v/>
      </c>
      <c r="H798" s="9" t="str">
        <f>_xlfn.XLOOKUP(C798,customers!$A$2:$A$1001,customers!$G$2:$G$1001,"")</f>
        <v>United States</v>
      </c>
      <c r="I798" s="10" t="str">
        <f>INDEX(products!$A$2:$G$49,MATCH(orders!$D798,products!$A$2:$A$49,0),MATCH(orders!I$1,products!$A$1:$G$1,0))</f>
        <v>Lib</v>
      </c>
      <c r="J798" s="10" t="str">
        <f>INDEX(products!$A$2:$G$49,MATCH(orders!$D798,products!$A$2:$A$49,0),MATCH(orders!J$1,products!$A$1:$G$1,0))</f>
        <v>L</v>
      </c>
      <c r="K798" s="11">
        <f>INDEX(products!$A$2:$G$49,MATCH(orders!$D798,products!$A$2:$A$49,0),MATCH(orders!K$1,products!$A$1:$G$1,0))</f>
        <v>0.5</v>
      </c>
      <c r="L798" s="12">
        <f>INDEX(products!$A$2:$G$49,MATCH(orders!$D798,products!$A$2:$A$49,0),MATCH(orders!L$1,products!$A$1:$G$1,0))</f>
        <v>9.51</v>
      </c>
      <c r="M798" s="12">
        <f t="shared" si="36"/>
        <v>9.51</v>
      </c>
      <c r="N798" s="10" t="str">
        <f t="shared" si="37"/>
        <v>Liberica</v>
      </c>
      <c r="O798" s="10" t="str">
        <f t="shared" si="38"/>
        <v>Light</v>
      </c>
      <c r="P798" s="10" t="str">
        <f>_xlfn.XLOOKUP(Tableau1[[#This Row],[Customer ID]],customers!A$2:A$1001,customers!I$2:I$1001)</f>
        <v>No</v>
      </c>
    </row>
    <row r="799" spans="1:16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9" t="str">
        <f>_xlfn.XLOOKUP(orders!C799,customers!$A$2:$A$1001,customers!$B$2:$B$1001)</f>
        <v>Jed Kennicott</v>
      </c>
      <c r="G799" s="9" t="str">
        <f>IF(_xlfn.XLOOKUP(orders!C799,customers!$A$2:$A$1001,customers!$C$2:$C$1001,,,)=0,"",_xlfn.XLOOKUP(orders!C799,customers!$A$2:$A$1001,customers!$C$2:$C$1001,,,))</f>
        <v>jkennicottm5@yahoo.co.jp</v>
      </c>
      <c r="H799" s="9" t="str">
        <f>_xlfn.XLOOKUP(C799,customers!$A$2:$A$1001,customers!$G$2:$G$1001,"")</f>
        <v>United States</v>
      </c>
      <c r="I799" s="10" t="str">
        <f>INDEX(products!$A$2:$G$49,MATCH(orders!$D799,products!$A$2:$A$49,0),MATCH(orders!I$1,products!$A$1:$G$1,0))</f>
        <v>Ara</v>
      </c>
      <c r="J799" s="10" t="str">
        <f>INDEX(products!$A$2:$G$49,MATCH(orders!$D799,products!$A$2:$A$49,0),MATCH(orders!J$1,products!$A$1:$G$1,0))</f>
        <v>L</v>
      </c>
      <c r="K799" s="11">
        <f>INDEX(products!$A$2:$G$49,MATCH(orders!$D799,products!$A$2:$A$49,0),MATCH(orders!K$1,products!$A$1:$G$1,0))</f>
        <v>0.5</v>
      </c>
      <c r="L799" s="12">
        <f>INDEX(products!$A$2:$G$49,MATCH(orders!$D799,products!$A$2:$A$49,0),MATCH(orders!L$1,products!$A$1:$G$1,0))</f>
        <v>7.77</v>
      </c>
      <c r="M799" s="12">
        <f t="shared" si="36"/>
        <v>31.08</v>
      </c>
      <c r="N799" s="10" t="str">
        <f t="shared" si="37"/>
        <v>Arabica</v>
      </c>
      <c r="O799" s="10" t="str">
        <f t="shared" si="38"/>
        <v>Light</v>
      </c>
      <c r="P799" s="10" t="str">
        <f>_xlfn.XLOOKUP(Tableau1[[#This Row],[Customer ID]],customers!A$2:A$1001,customers!I$2:I$1001)</f>
        <v>No</v>
      </c>
    </row>
    <row r="800" spans="1:16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9" t="str">
        <f>_xlfn.XLOOKUP(orders!C800,customers!$A$2:$A$1001,customers!$B$2:$B$1001)</f>
        <v>Guenevere Ruggen</v>
      </c>
      <c r="G800" s="9" t="str">
        <f>IF(_xlfn.XLOOKUP(orders!C800,customers!$A$2:$A$1001,customers!$C$2:$C$1001,,,)=0,"",_xlfn.XLOOKUP(orders!C800,customers!$A$2:$A$1001,customers!$C$2:$C$1001,,,))</f>
        <v>gruggenm6@nymag.com</v>
      </c>
      <c r="H800" s="9" t="str">
        <f>_xlfn.XLOOKUP(C800,customers!$A$2:$A$1001,customers!$G$2:$G$1001,"")</f>
        <v>United States</v>
      </c>
      <c r="I800" s="10" t="str">
        <f>INDEX(products!$A$2:$G$49,MATCH(orders!$D800,products!$A$2:$A$49,0),MATCH(orders!I$1,products!$A$1:$G$1,0))</f>
        <v>Rob</v>
      </c>
      <c r="J800" s="10" t="str">
        <f>INDEX(products!$A$2:$G$49,MATCH(orders!$D800,products!$A$2:$A$49,0),MATCH(orders!J$1,products!$A$1:$G$1,0))</f>
        <v>D</v>
      </c>
      <c r="K800" s="11">
        <f>INDEX(products!$A$2:$G$49,MATCH(orders!$D800,products!$A$2:$A$49,0),MATCH(orders!K$1,products!$A$1:$G$1,0))</f>
        <v>0.2</v>
      </c>
      <c r="L800" s="12">
        <f>INDEX(products!$A$2:$G$49,MATCH(orders!$D800,products!$A$2:$A$49,0),MATCH(orders!L$1,products!$A$1:$G$1,0))</f>
        <v>2.6849999999999996</v>
      </c>
      <c r="M800" s="12">
        <f t="shared" si="36"/>
        <v>8.0549999999999997</v>
      </c>
      <c r="N800" s="10" t="str">
        <f t="shared" si="37"/>
        <v>Robusta</v>
      </c>
      <c r="O800" s="10" t="str">
        <f t="shared" si="38"/>
        <v>Dark</v>
      </c>
      <c r="P800" s="10" t="str">
        <f>_xlfn.XLOOKUP(Tableau1[[#This Row],[Customer ID]],customers!A$2:A$1001,customers!I$2:I$1001)</f>
        <v>Yes</v>
      </c>
    </row>
    <row r="801" spans="1:16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9" t="str">
        <f>_xlfn.XLOOKUP(orders!C801,customers!$A$2:$A$1001,customers!$B$2:$B$1001)</f>
        <v>Gonzales Cicculi</v>
      </c>
      <c r="G801" s="9" t="str">
        <f>IF(_xlfn.XLOOKUP(orders!C801,customers!$A$2:$A$1001,customers!$C$2:$C$1001,,,)=0,"",_xlfn.XLOOKUP(orders!C801,customers!$A$2:$A$1001,customers!$C$2:$C$1001,,,))</f>
        <v/>
      </c>
      <c r="H801" s="9" t="str">
        <f>_xlfn.XLOOKUP(C801,customers!$A$2:$A$1001,customers!$G$2:$G$1001,"")</f>
        <v>United States</v>
      </c>
      <c r="I801" s="10" t="str">
        <f>INDEX(products!$A$2:$G$49,MATCH(orders!$D801,products!$A$2:$A$49,0),MATCH(orders!I$1,products!$A$1:$G$1,0))</f>
        <v>Exc</v>
      </c>
      <c r="J801" s="10" t="str">
        <f>INDEX(products!$A$2:$G$49,MATCH(orders!$D801,products!$A$2:$A$49,0),MATCH(orders!J$1,products!$A$1:$G$1,0))</f>
        <v>D</v>
      </c>
      <c r="K801" s="11">
        <f>INDEX(products!$A$2:$G$49,MATCH(orders!$D801,products!$A$2:$A$49,0),MATCH(orders!K$1,products!$A$1:$G$1,0))</f>
        <v>1</v>
      </c>
      <c r="L801" s="12">
        <f>INDEX(products!$A$2:$G$49,MATCH(orders!$D801,products!$A$2:$A$49,0),MATCH(orders!L$1,products!$A$1:$G$1,0))</f>
        <v>12.15</v>
      </c>
      <c r="M801" s="12">
        <f t="shared" si="36"/>
        <v>36.450000000000003</v>
      </c>
      <c r="N801" s="10" t="str">
        <f t="shared" si="37"/>
        <v>Excelsa</v>
      </c>
      <c r="O801" s="10" t="str">
        <f t="shared" si="38"/>
        <v>Dark</v>
      </c>
      <c r="P801" s="10" t="str">
        <f>_xlfn.XLOOKUP(Tableau1[[#This Row],[Customer ID]],customers!A$2:A$1001,customers!I$2:I$1001)</f>
        <v>Yes</v>
      </c>
    </row>
    <row r="802" spans="1:16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9" t="str">
        <f>_xlfn.XLOOKUP(orders!C802,customers!$A$2:$A$1001,customers!$B$2:$B$1001)</f>
        <v>Man Fright</v>
      </c>
      <c r="G802" s="9" t="str">
        <f>IF(_xlfn.XLOOKUP(orders!C802,customers!$A$2:$A$1001,customers!$C$2:$C$1001,,,)=0,"",_xlfn.XLOOKUP(orders!C802,customers!$A$2:$A$1001,customers!$C$2:$C$1001,,,))</f>
        <v>mfrightm8@harvard.edu</v>
      </c>
      <c r="H802" s="9" t="str">
        <f>_xlfn.XLOOKUP(C802,customers!$A$2:$A$1001,customers!$G$2:$G$1001,"")</f>
        <v>Ireland</v>
      </c>
      <c r="I802" s="10" t="str">
        <f>INDEX(products!$A$2:$G$49,MATCH(orders!$D802,products!$A$2:$A$49,0),MATCH(orders!I$1,products!$A$1:$G$1,0))</f>
        <v>Rob</v>
      </c>
      <c r="J802" s="10" t="str">
        <f>INDEX(products!$A$2:$G$49,MATCH(orders!$D802,products!$A$2:$A$49,0),MATCH(orders!J$1,products!$A$1:$G$1,0))</f>
        <v>D</v>
      </c>
      <c r="K802" s="11">
        <f>INDEX(products!$A$2:$G$49,MATCH(orders!$D802,products!$A$2:$A$49,0),MATCH(orders!K$1,products!$A$1:$G$1,0))</f>
        <v>0.2</v>
      </c>
      <c r="L802" s="12">
        <f>INDEX(products!$A$2:$G$49,MATCH(orders!$D802,products!$A$2:$A$49,0),MATCH(orders!L$1,products!$A$1:$G$1,0))</f>
        <v>2.6849999999999996</v>
      </c>
      <c r="M802" s="12">
        <f t="shared" si="36"/>
        <v>16.11</v>
      </c>
      <c r="N802" s="10" t="str">
        <f t="shared" si="37"/>
        <v>Robusta</v>
      </c>
      <c r="O802" s="10" t="str">
        <f t="shared" si="38"/>
        <v>Dark</v>
      </c>
      <c r="P802" s="10" t="str">
        <f>_xlfn.XLOOKUP(Tableau1[[#This Row],[Customer ID]],customers!A$2:A$1001,customers!I$2:I$1001)</f>
        <v>No</v>
      </c>
    </row>
    <row r="803" spans="1:16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9" t="str">
        <f>_xlfn.XLOOKUP(orders!C803,customers!$A$2:$A$1001,customers!$B$2:$B$1001)</f>
        <v>Boyce Tarte</v>
      </c>
      <c r="G803" s="9" t="str">
        <f>IF(_xlfn.XLOOKUP(orders!C803,customers!$A$2:$A$1001,customers!$C$2:$C$1001,,,)=0,"",_xlfn.XLOOKUP(orders!C803,customers!$A$2:$A$1001,customers!$C$2:$C$1001,,,))</f>
        <v>btartem9@aol.com</v>
      </c>
      <c r="H803" s="9" t="str">
        <f>_xlfn.XLOOKUP(C803,customers!$A$2:$A$1001,customers!$G$2:$G$1001,"")</f>
        <v>United States</v>
      </c>
      <c r="I803" s="10" t="str">
        <f>INDEX(products!$A$2:$G$49,MATCH(orders!$D803,products!$A$2:$A$49,0),MATCH(orders!I$1,products!$A$1:$G$1,0))</f>
        <v>Rob</v>
      </c>
      <c r="J803" s="10" t="str">
        <f>INDEX(products!$A$2:$G$49,MATCH(orders!$D803,products!$A$2:$A$49,0),MATCH(orders!J$1,products!$A$1:$G$1,0))</f>
        <v>D</v>
      </c>
      <c r="K803" s="11">
        <f>INDEX(products!$A$2:$G$49,MATCH(orders!$D803,products!$A$2:$A$49,0),MATCH(orders!K$1,products!$A$1:$G$1,0))</f>
        <v>2.5</v>
      </c>
      <c r="L803" s="12">
        <f>INDEX(products!$A$2:$G$49,MATCH(orders!$D803,products!$A$2:$A$49,0),MATCH(orders!L$1,products!$A$1:$G$1,0))</f>
        <v>20.584999999999997</v>
      </c>
      <c r="M803" s="12">
        <f t="shared" si="36"/>
        <v>41.169999999999995</v>
      </c>
      <c r="N803" s="10" t="str">
        <f t="shared" si="37"/>
        <v>Robusta</v>
      </c>
      <c r="O803" s="10" t="str">
        <f t="shared" si="38"/>
        <v>Dark</v>
      </c>
      <c r="P803" s="10" t="str">
        <f>_xlfn.XLOOKUP(Tableau1[[#This Row],[Customer ID]],customers!A$2:A$1001,customers!I$2:I$1001)</f>
        <v>Yes</v>
      </c>
    </row>
    <row r="804" spans="1:16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9" t="str">
        <f>_xlfn.XLOOKUP(orders!C804,customers!$A$2:$A$1001,customers!$B$2:$B$1001)</f>
        <v>Caddric Krzysztofiak</v>
      </c>
      <c r="G804" s="9" t="str">
        <f>IF(_xlfn.XLOOKUP(orders!C804,customers!$A$2:$A$1001,customers!$C$2:$C$1001,,,)=0,"",_xlfn.XLOOKUP(orders!C804,customers!$A$2:$A$1001,customers!$C$2:$C$1001,,,))</f>
        <v>ckrzysztofiakma@skyrock.com</v>
      </c>
      <c r="H804" s="9" t="str">
        <f>_xlfn.XLOOKUP(C804,customers!$A$2:$A$1001,customers!$G$2:$G$1001,"")</f>
        <v>United States</v>
      </c>
      <c r="I804" s="10" t="str">
        <f>INDEX(products!$A$2:$G$49,MATCH(orders!$D804,products!$A$2:$A$49,0),MATCH(orders!I$1,products!$A$1:$G$1,0))</f>
        <v>Rob</v>
      </c>
      <c r="J804" s="10" t="str">
        <f>INDEX(products!$A$2:$G$49,MATCH(orders!$D804,products!$A$2:$A$49,0),MATCH(orders!J$1,products!$A$1:$G$1,0))</f>
        <v>D</v>
      </c>
      <c r="K804" s="11">
        <f>INDEX(products!$A$2:$G$49,MATCH(orders!$D804,products!$A$2:$A$49,0),MATCH(orders!K$1,products!$A$1:$G$1,0))</f>
        <v>0.2</v>
      </c>
      <c r="L804" s="12">
        <f>INDEX(products!$A$2:$G$49,MATCH(orders!$D804,products!$A$2:$A$49,0),MATCH(orders!L$1,products!$A$1:$G$1,0))</f>
        <v>2.6849999999999996</v>
      </c>
      <c r="M804" s="12">
        <f t="shared" si="36"/>
        <v>10.739999999999998</v>
      </c>
      <c r="N804" s="10" t="str">
        <f t="shared" si="37"/>
        <v>Robusta</v>
      </c>
      <c r="O804" s="10" t="str">
        <f t="shared" si="38"/>
        <v>Dark</v>
      </c>
      <c r="P804" s="10" t="str">
        <f>_xlfn.XLOOKUP(Tableau1[[#This Row],[Customer ID]],customers!A$2:A$1001,customers!I$2:I$1001)</f>
        <v>No</v>
      </c>
    </row>
    <row r="805" spans="1:16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9" t="str">
        <f>_xlfn.XLOOKUP(orders!C805,customers!$A$2:$A$1001,customers!$B$2:$B$1001)</f>
        <v>Darn Penquet</v>
      </c>
      <c r="G805" s="9" t="str">
        <f>IF(_xlfn.XLOOKUP(orders!C805,customers!$A$2:$A$1001,customers!$C$2:$C$1001,,,)=0,"",_xlfn.XLOOKUP(orders!C805,customers!$A$2:$A$1001,customers!$C$2:$C$1001,,,))</f>
        <v>dpenquetmb@diigo.com</v>
      </c>
      <c r="H805" s="9" t="str">
        <f>_xlfn.XLOOKUP(C805,customers!$A$2:$A$1001,customers!$G$2:$G$1001,"")</f>
        <v>United States</v>
      </c>
      <c r="I805" s="10" t="str">
        <f>INDEX(products!$A$2:$G$49,MATCH(orders!$D805,products!$A$2:$A$49,0),MATCH(orders!I$1,products!$A$1:$G$1,0))</f>
        <v>Exc</v>
      </c>
      <c r="J805" s="10" t="str">
        <f>INDEX(products!$A$2:$G$49,MATCH(orders!$D805,products!$A$2:$A$49,0),MATCH(orders!J$1,products!$A$1:$G$1,0))</f>
        <v>M</v>
      </c>
      <c r="K805" s="11">
        <f>INDEX(products!$A$2:$G$49,MATCH(orders!$D805,products!$A$2:$A$49,0),MATCH(orders!K$1,products!$A$1:$G$1,0))</f>
        <v>2.5</v>
      </c>
      <c r="L805" s="12">
        <f>INDEX(products!$A$2:$G$49,MATCH(orders!$D805,products!$A$2:$A$49,0),MATCH(orders!L$1,products!$A$1:$G$1,0))</f>
        <v>31.624999999999996</v>
      </c>
      <c r="M805" s="12">
        <f t="shared" si="36"/>
        <v>126.49999999999999</v>
      </c>
      <c r="N805" s="10" t="str">
        <f t="shared" si="37"/>
        <v>Excelsa</v>
      </c>
      <c r="O805" s="10" t="str">
        <f t="shared" si="38"/>
        <v>Medium</v>
      </c>
      <c r="P805" s="10" t="str">
        <f>_xlfn.XLOOKUP(Tableau1[[#This Row],[Customer ID]],customers!A$2:A$1001,customers!I$2:I$1001)</f>
        <v>No</v>
      </c>
    </row>
    <row r="806" spans="1:16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9" t="str">
        <f>_xlfn.XLOOKUP(orders!C806,customers!$A$2:$A$1001,customers!$B$2:$B$1001)</f>
        <v>Jammie Cloke</v>
      </c>
      <c r="G806" s="9" t="str">
        <f>IF(_xlfn.XLOOKUP(orders!C806,customers!$A$2:$A$1001,customers!$C$2:$C$1001,,,)=0,"",_xlfn.XLOOKUP(orders!C806,customers!$A$2:$A$1001,customers!$C$2:$C$1001,,,))</f>
        <v/>
      </c>
      <c r="H806" s="9" t="str">
        <f>_xlfn.XLOOKUP(C806,customers!$A$2:$A$1001,customers!$G$2:$G$1001,"")</f>
        <v>United Kingdom</v>
      </c>
      <c r="I806" s="10" t="str">
        <f>INDEX(products!$A$2:$G$49,MATCH(orders!$D806,products!$A$2:$A$49,0),MATCH(orders!I$1,products!$A$1:$G$1,0))</f>
        <v>Rob</v>
      </c>
      <c r="J806" s="10" t="str">
        <f>INDEX(products!$A$2:$G$49,MATCH(orders!$D806,products!$A$2:$A$49,0),MATCH(orders!J$1,products!$A$1:$G$1,0))</f>
        <v>L</v>
      </c>
      <c r="K806" s="11">
        <f>INDEX(products!$A$2:$G$49,MATCH(orders!$D806,products!$A$2:$A$49,0),MATCH(orders!K$1,products!$A$1:$G$1,0))</f>
        <v>1</v>
      </c>
      <c r="L806" s="12">
        <f>INDEX(products!$A$2:$G$49,MATCH(orders!$D806,products!$A$2:$A$49,0),MATCH(orders!L$1,products!$A$1:$G$1,0))</f>
        <v>11.95</v>
      </c>
      <c r="M806" s="12">
        <f t="shared" si="36"/>
        <v>23.9</v>
      </c>
      <c r="N806" s="10" t="str">
        <f t="shared" si="37"/>
        <v>Robusta</v>
      </c>
      <c r="O806" s="10" t="str">
        <f t="shared" si="38"/>
        <v>Light</v>
      </c>
      <c r="P806" s="10" t="str">
        <f>_xlfn.XLOOKUP(Tableau1[[#This Row],[Customer ID]],customers!A$2:A$1001,customers!I$2:I$1001)</f>
        <v>No</v>
      </c>
    </row>
    <row r="807" spans="1:16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9" t="str">
        <f>_xlfn.XLOOKUP(orders!C807,customers!$A$2:$A$1001,customers!$B$2:$B$1001)</f>
        <v>Chester Clowton</v>
      </c>
      <c r="G807" s="9" t="str">
        <f>IF(_xlfn.XLOOKUP(orders!C807,customers!$A$2:$A$1001,customers!$C$2:$C$1001,,,)=0,"",_xlfn.XLOOKUP(orders!C807,customers!$A$2:$A$1001,customers!$C$2:$C$1001,,,))</f>
        <v/>
      </c>
      <c r="H807" s="9" t="str">
        <f>_xlfn.XLOOKUP(C807,customers!$A$2:$A$1001,customers!$G$2:$G$1001,"")</f>
        <v>United States</v>
      </c>
      <c r="I807" s="10" t="str">
        <f>INDEX(products!$A$2:$G$49,MATCH(orders!$D807,products!$A$2:$A$49,0),MATCH(orders!I$1,products!$A$1:$G$1,0))</f>
        <v>Rob</v>
      </c>
      <c r="J807" s="10" t="str">
        <f>INDEX(products!$A$2:$G$49,MATCH(orders!$D807,products!$A$2:$A$49,0),MATCH(orders!J$1,products!$A$1:$G$1,0))</f>
        <v>M</v>
      </c>
      <c r="K807" s="11">
        <f>INDEX(products!$A$2:$G$49,MATCH(orders!$D807,products!$A$2:$A$49,0),MATCH(orders!K$1,products!$A$1:$G$1,0))</f>
        <v>0.5</v>
      </c>
      <c r="L807" s="12">
        <f>INDEX(products!$A$2:$G$49,MATCH(orders!$D807,products!$A$2:$A$49,0),MATCH(orders!L$1,products!$A$1:$G$1,0))</f>
        <v>5.97</v>
      </c>
      <c r="M807" s="12">
        <f t="shared" si="36"/>
        <v>5.97</v>
      </c>
      <c r="N807" s="10" t="str">
        <f t="shared" si="37"/>
        <v>Robusta</v>
      </c>
      <c r="O807" s="10" t="str">
        <f t="shared" si="38"/>
        <v>Medium</v>
      </c>
      <c r="P807" s="10" t="str">
        <f>_xlfn.XLOOKUP(Tableau1[[#This Row],[Customer ID]],customers!A$2:A$1001,customers!I$2:I$1001)</f>
        <v>No</v>
      </c>
    </row>
    <row r="808" spans="1:16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9" t="str">
        <f>_xlfn.XLOOKUP(orders!C808,customers!$A$2:$A$1001,customers!$B$2:$B$1001)</f>
        <v>Kathleen Diable</v>
      </c>
      <c r="G808" s="9" t="str">
        <f>IF(_xlfn.XLOOKUP(orders!C808,customers!$A$2:$A$1001,customers!$C$2:$C$1001,,,)=0,"",_xlfn.XLOOKUP(orders!C808,customers!$A$2:$A$1001,customers!$C$2:$C$1001,,,))</f>
        <v/>
      </c>
      <c r="H808" s="9" t="str">
        <f>_xlfn.XLOOKUP(C808,customers!$A$2:$A$1001,customers!$G$2:$G$1001,"")</f>
        <v>United Kingdom</v>
      </c>
      <c r="I808" s="10" t="str">
        <f>INDEX(products!$A$2:$G$49,MATCH(orders!$D808,products!$A$2:$A$49,0),MATCH(orders!I$1,products!$A$1:$G$1,0))</f>
        <v>Lib</v>
      </c>
      <c r="J808" s="10" t="str">
        <f>INDEX(products!$A$2:$G$49,MATCH(orders!$D808,products!$A$2:$A$49,0),MATCH(orders!J$1,products!$A$1:$G$1,0))</f>
        <v>D</v>
      </c>
      <c r="K808" s="11">
        <f>INDEX(products!$A$2:$G$49,MATCH(orders!$D808,products!$A$2:$A$49,0),MATCH(orders!K$1,products!$A$1:$G$1,0))</f>
        <v>0.2</v>
      </c>
      <c r="L808" s="12">
        <f>INDEX(products!$A$2:$G$49,MATCH(orders!$D808,products!$A$2:$A$49,0),MATCH(orders!L$1,products!$A$1:$G$1,0))</f>
        <v>3.8849999999999998</v>
      </c>
      <c r="M808" s="12">
        <f t="shared" si="36"/>
        <v>7.77</v>
      </c>
      <c r="N808" s="10" t="str">
        <f t="shared" si="37"/>
        <v>Liberica</v>
      </c>
      <c r="O808" s="10" t="str">
        <f t="shared" si="38"/>
        <v>Dark</v>
      </c>
      <c r="P808" s="10" t="str">
        <f>_xlfn.XLOOKUP(Tableau1[[#This Row],[Customer ID]],customers!A$2:A$1001,customers!I$2:I$1001)</f>
        <v>Yes</v>
      </c>
    </row>
    <row r="809" spans="1:16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9" t="str">
        <f>_xlfn.XLOOKUP(orders!C809,customers!$A$2:$A$1001,customers!$B$2:$B$1001)</f>
        <v>Koren Ferretti</v>
      </c>
      <c r="G809" s="9" t="str">
        <f>IF(_xlfn.XLOOKUP(orders!C809,customers!$A$2:$A$1001,customers!$C$2:$C$1001,,,)=0,"",_xlfn.XLOOKUP(orders!C809,customers!$A$2:$A$1001,customers!$C$2:$C$1001,,,))</f>
        <v>kferrettimf@huffingtonpost.com</v>
      </c>
      <c r="H809" s="9" t="str">
        <f>_xlfn.XLOOKUP(C809,customers!$A$2:$A$1001,customers!$G$2:$G$1001,"")</f>
        <v>Ireland</v>
      </c>
      <c r="I809" s="10" t="str">
        <f>INDEX(products!$A$2:$G$49,MATCH(orders!$D809,products!$A$2:$A$49,0),MATCH(orders!I$1,products!$A$1:$G$1,0))</f>
        <v>Lib</v>
      </c>
      <c r="J809" s="10" t="str">
        <f>INDEX(products!$A$2:$G$49,MATCH(orders!$D809,products!$A$2:$A$49,0),MATCH(orders!J$1,products!$A$1:$G$1,0))</f>
        <v>D</v>
      </c>
      <c r="K809" s="11">
        <f>INDEX(products!$A$2:$G$49,MATCH(orders!$D809,products!$A$2:$A$49,0),MATCH(orders!K$1,products!$A$1:$G$1,0))</f>
        <v>0.5</v>
      </c>
      <c r="L809" s="12">
        <f>INDEX(products!$A$2:$G$49,MATCH(orders!$D809,products!$A$2:$A$49,0),MATCH(orders!L$1,products!$A$1:$G$1,0))</f>
        <v>7.77</v>
      </c>
      <c r="M809" s="12">
        <f t="shared" si="36"/>
        <v>23.31</v>
      </c>
      <c r="N809" s="10" t="str">
        <f t="shared" si="37"/>
        <v>Liberica</v>
      </c>
      <c r="O809" s="10" t="str">
        <f t="shared" si="38"/>
        <v>Dark</v>
      </c>
      <c r="P809" s="10" t="str">
        <f>_xlfn.XLOOKUP(Tableau1[[#This Row],[Customer ID]],customers!A$2:A$1001,customers!I$2:I$1001)</f>
        <v>No</v>
      </c>
    </row>
    <row r="810" spans="1:16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9" t="str">
        <f>_xlfn.XLOOKUP(orders!C810,customers!$A$2:$A$1001,customers!$B$2:$B$1001)</f>
        <v>Allis Wilmore</v>
      </c>
      <c r="G810" s="9" t="str">
        <f>IF(_xlfn.XLOOKUP(orders!C810,customers!$A$2:$A$1001,customers!$C$2:$C$1001,,,)=0,"",_xlfn.XLOOKUP(orders!C810,customers!$A$2:$A$1001,customers!$C$2:$C$1001,,,))</f>
        <v/>
      </c>
      <c r="H810" s="9" t="str">
        <f>_xlfn.XLOOKUP(C810,customers!$A$2:$A$1001,customers!$G$2:$G$1001,"")</f>
        <v>United States</v>
      </c>
      <c r="I810" s="10" t="str">
        <f>INDEX(products!$A$2:$G$49,MATCH(orders!$D810,products!$A$2:$A$49,0),MATCH(orders!I$1,products!$A$1:$G$1,0))</f>
        <v>Rob</v>
      </c>
      <c r="J810" s="10" t="str">
        <f>INDEX(products!$A$2:$G$49,MATCH(orders!$D810,products!$A$2:$A$49,0),MATCH(orders!J$1,products!$A$1:$G$1,0))</f>
        <v>L</v>
      </c>
      <c r="K810" s="11">
        <f>INDEX(products!$A$2:$G$49,MATCH(orders!$D810,products!$A$2:$A$49,0),MATCH(orders!K$1,products!$A$1:$G$1,0))</f>
        <v>2.5</v>
      </c>
      <c r="L810" s="12">
        <f>INDEX(products!$A$2:$G$49,MATCH(orders!$D810,products!$A$2:$A$49,0),MATCH(orders!L$1,products!$A$1:$G$1,0))</f>
        <v>27.484999999999996</v>
      </c>
      <c r="M810" s="12">
        <f t="shared" si="36"/>
        <v>137.42499999999998</v>
      </c>
      <c r="N810" s="10" t="str">
        <f t="shared" si="37"/>
        <v>Robusta</v>
      </c>
      <c r="O810" s="10" t="str">
        <f t="shared" si="38"/>
        <v>Light</v>
      </c>
      <c r="P810" s="10" t="str">
        <f>_xlfn.XLOOKUP(Tableau1[[#This Row],[Customer ID]],customers!A$2:A$1001,customers!I$2:I$1001)</f>
        <v>No</v>
      </c>
    </row>
    <row r="811" spans="1:16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9" t="str">
        <f>_xlfn.XLOOKUP(orders!C811,customers!$A$2:$A$1001,customers!$B$2:$B$1001)</f>
        <v>Chaddie Bennie</v>
      </c>
      <c r="G811" s="9" t="str">
        <f>IF(_xlfn.XLOOKUP(orders!C811,customers!$A$2:$A$1001,customers!$C$2:$C$1001,,,)=0,"",_xlfn.XLOOKUP(orders!C811,customers!$A$2:$A$1001,customers!$C$2:$C$1001,,,))</f>
        <v/>
      </c>
      <c r="H811" s="9" t="str">
        <f>_xlfn.XLOOKUP(C811,customers!$A$2:$A$1001,customers!$G$2:$G$1001,"")</f>
        <v>United States</v>
      </c>
      <c r="I811" s="10" t="str">
        <f>INDEX(products!$A$2:$G$49,MATCH(orders!$D811,products!$A$2:$A$49,0),MATCH(orders!I$1,products!$A$1:$G$1,0))</f>
        <v>Rob</v>
      </c>
      <c r="J811" s="10" t="str">
        <f>INDEX(products!$A$2:$G$49,MATCH(orders!$D811,products!$A$2:$A$49,0),MATCH(orders!J$1,products!$A$1:$G$1,0))</f>
        <v>D</v>
      </c>
      <c r="K811" s="11">
        <f>INDEX(products!$A$2:$G$49,MATCH(orders!$D811,products!$A$2:$A$49,0),MATCH(orders!K$1,products!$A$1:$G$1,0))</f>
        <v>0.2</v>
      </c>
      <c r="L811" s="12">
        <f>INDEX(products!$A$2:$G$49,MATCH(orders!$D811,products!$A$2:$A$49,0),MATCH(orders!L$1,products!$A$1:$G$1,0))</f>
        <v>2.6849999999999996</v>
      </c>
      <c r="M811" s="12">
        <f t="shared" si="36"/>
        <v>8.0549999999999997</v>
      </c>
      <c r="N811" s="10" t="str">
        <f t="shared" si="37"/>
        <v>Robusta</v>
      </c>
      <c r="O811" s="10" t="str">
        <f t="shared" si="38"/>
        <v>Dark</v>
      </c>
      <c r="P811" s="10" t="str">
        <f>_xlfn.XLOOKUP(Tableau1[[#This Row],[Customer ID]],customers!A$2:A$1001,customers!I$2:I$1001)</f>
        <v>Yes</v>
      </c>
    </row>
    <row r="812" spans="1:16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9" t="str">
        <f>_xlfn.XLOOKUP(orders!C812,customers!$A$2:$A$1001,customers!$B$2:$B$1001)</f>
        <v>Alberta Balsdone</v>
      </c>
      <c r="G812" s="9" t="str">
        <f>IF(_xlfn.XLOOKUP(orders!C812,customers!$A$2:$A$1001,customers!$C$2:$C$1001,,,)=0,"",_xlfn.XLOOKUP(orders!C812,customers!$A$2:$A$1001,customers!$C$2:$C$1001,,,))</f>
        <v>abalsdonemi@toplist.cz</v>
      </c>
      <c r="H812" s="9" t="str">
        <f>_xlfn.XLOOKUP(C812,customers!$A$2:$A$1001,customers!$G$2:$G$1001,"")</f>
        <v>United States</v>
      </c>
      <c r="I812" s="10" t="str">
        <f>INDEX(products!$A$2:$G$49,MATCH(orders!$D812,products!$A$2:$A$49,0),MATCH(orders!I$1,products!$A$1:$G$1,0))</f>
        <v>Lib</v>
      </c>
      <c r="J812" s="10" t="str">
        <f>INDEX(products!$A$2:$G$49,MATCH(orders!$D812,products!$A$2:$A$49,0),MATCH(orders!J$1,products!$A$1:$G$1,0))</f>
        <v>L</v>
      </c>
      <c r="K812" s="11">
        <f>INDEX(products!$A$2:$G$49,MATCH(orders!$D812,products!$A$2:$A$49,0),MATCH(orders!K$1,products!$A$1:$G$1,0))</f>
        <v>0.5</v>
      </c>
      <c r="L812" s="12">
        <f>INDEX(products!$A$2:$G$49,MATCH(orders!$D812,products!$A$2:$A$49,0),MATCH(orders!L$1,products!$A$1:$G$1,0))</f>
        <v>9.51</v>
      </c>
      <c r="M812" s="12">
        <f t="shared" si="36"/>
        <v>28.53</v>
      </c>
      <c r="N812" s="10" t="str">
        <f t="shared" si="37"/>
        <v>Liberica</v>
      </c>
      <c r="O812" s="10" t="str">
        <f t="shared" si="38"/>
        <v>Light</v>
      </c>
      <c r="P812" s="10" t="str">
        <f>_xlfn.XLOOKUP(Tableau1[[#This Row],[Customer ID]],customers!A$2:A$1001,customers!I$2:I$1001)</f>
        <v>No</v>
      </c>
    </row>
    <row r="813" spans="1:16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9" t="str">
        <f>_xlfn.XLOOKUP(orders!C813,customers!$A$2:$A$1001,customers!$B$2:$B$1001)</f>
        <v>Brice Romera</v>
      </c>
      <c r="G813" s="9" t="str">
        <f>IF(_xlfn.XLOOKUP(orders!C813,customers!$A$2:$A$1001,customers!$C$2:$C$1001,,,)=0,"",_xlfn.XLOOKUP(orders!C813,customers!$A$2:$A$1001,customers!$C$2:$C$1001,,,))</f>
        <v>bromeramj@list-manage.com</v>
      </c>
      <c r="H813" s="9" t="str">
        <f>_xlfn.XLOOKUP(C813,customers!$A$2:$A$1001,customers!$G$2:$G$1001,"")</f>
        <v>Ireland</v>
      </c>
      <c r="I813" s="10" t="str">
        <f>INDEX(products!$A$2:$G$49,MATCH(orders!$D813,products!$A$2:$A$49,0),MATCH(orders!I$1,products!$A$1:$G$1,0))</f>
        <v>Ara</v>
      </c>
      <c r="J813" s="10" t="str">
        <f>INDEX(products!$A$2:$G$49,MATCH(orders!$D813,products!$A$2:$A$49,0),MATCH(orders!J$1,products!$A$1:$G$1,0))</f>
        <v>M</v>
      </c>
      <c r="K813" s="11">
        <f>INDEX(products!$A$2:$G$49,MATCH(orders!$D813,products!$A$2:$A$49,0),MATCH(orders!K$1,products!$A$1:$G$1,0))</f>
        <v>1</v>
      </c>
      <c r="L813" s="12">
        <f>INDEX(products!$A$2:$G$49,MATCH(orders!$D813,products!$A$2:$A$49,0),MATCH(orders!L$1,products!$A$1:$G$1,0))</f>
        <v>11.25</v>
      </c>
      <c r="M813" s="12">
        <f t="shared" si="36"/>
        <v>67.5</v>
      </c>
      <c r="N813" s="10" t="str">
        <f t="shared" si="37"/>
        <v>Arabica</v>
      </c>
      <c r="O813" s="10" t="str">
        <f t="shared" si="38"/>
        <v>Medium</v>
      </c>
      <c r="P813" s="10" t="str">
        <f>_xlfn.XLOOKUP(Tableau1[[#This Row],[Customer ID]],customers!A$2:A$1001,customers!I$2:I$1001)</f>
        <v>Yes</v>
      </c>
    </row>
    <row r="814" spans="1:16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9" t="str">
        <f>_xlfn.XLOOKUP(orders!C814,customers!$A$2:$A$1001,customers!$B$2:$B$1001)</f>
        <v>Brice Romera</v>
      </c>
      <c r="G814" s="9" t="str">
        <f>IF(_xlfn.XLOOKUP(orders!C814,customers!$A$2:$A$1001,customers!$C$2:$C$1001,,,)=0,"",_xlfn.XLOOKUP(orders!C814,customers!$A$2:$A$1001,customers!$C$2:$C$1001,,,))</f>
        <v>bromeramj@list-manage.com</v>
      </c>
      <c r="H814" s="9" t="str">
        <f>_xlfn.XLOOKUP(C814,customers!$A$2:$A$1001,customers!$G$2:$G$1001,"")</f>
        <v>Ireland</v>
      </c>
      <c r="I814" s="10" t="str">
        <f>INDEX(products!$A$2:$G$49,MATCH(orders!$D814,products!$A$2:$A$49,0),MATCH(orders!I$1,products!$A$1:$G$1,0))</f>
        <v>Lib</v>
      </c>
      <c r="J814" s="10" t="str">
        <f>INDEX(products!$A$2:$G$49,MATCH(orders!$D814,products!$A$2:$A$49,0),MATCH(orders!J$1,products!$A$1:$G$1,0))</f>
        <v>D</v>
      </c>
      <c r="K814" s="11">
        <f>INDEX(products!$A$2:$G$49,MATCH(orders!$D814,products!$A$2:$A$49,0),MATCH(orders!K$1,products!$A$1:$G$1,0))</f>
        <v>2.5</v>
      </c>
      <c r="L814" s="12">
        <f>INDEX(products!$A$2:$G$49,MATCH(orders!$D814,products!$A$2:$A$49,0),MATCH(orders!L$1,products!$A$1:$G$1,0))</f>
        <v>29.784999999999997</v>
      </c>
      <c r="M814" s="12">
        <f t="shared" si="36"/>
        <v>178.70999999999998</v>
      </c>
      <c r="N814" s="10" t="str">
        <f t="shared" si="37"/>
        <v>Liberica</v>
      </c>
      <c r="O814" s="10" t="str">
        <f t="shared" si="38"/>
        <v>Dark</v>
      </c>
      <c r="P814" s="10" t="str">
        <f>_xlfn.XLOOKUP(Tableau1[[#This Row],[Customer ID]],customers!A$2:A$1001,customers!I$2:I$1001)</f>
        <v>Yes</v>
      </c>
    </row>
    <row r="815" spans="1:16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9" t="str">
        <f>_xlfn.XLOOKUP(orders!C815,customers!$A$2:$A$1001,customers!$B$2:$B$1001)</f>
        <v>Conchita Bryde</v>
      </c>
      <c r="G815" s="9" t="str">
        <f>IF(_xlfn.XLOOKUP(orders!C815,customers!$A$2:$A$1001,customers!$C$2:$C$1001,,,)=0,"",_xlfn.XLOOKUP(orders!C815,customers!$A$2:$A$1001,customers!$C$2:$C$1001,,,))</f>
        <v>cbrydeml@tuttocitta.it</v>
      </c>
      <c r="H815" s="9" t="str">
        <f>_xlfn.XLOOKUP(C815,customers!$A$2:$A$1001,customers!$G$2:$G$1001,"")</f>
        <v>United States</v>
      </c>
      <c r="I815" s="10" t="str">
        <f>INDEX(products!$A$2:$G$49,MATCH(orders!$D815,products!$A$2:$A$49,0),MATCH(orders!I$1,products!$A$1:$G$1,0))</f>
        <v>Exc</v>
      </c>
      <c r="J815" s="10" t="str">
        <f>INDEX(products!$A$2:$G$49,MATCH(orders!$D815,products!$A$2:$A$49,0),MATCH(orders!J$1,products!$A$1:$G$1,0))</f>
        <v>M</v>
      </c>
      <c r="K815" s="11">
        <f>INDEX(products!$A$2:$G$49,MATCH(orders!$D815,products!$A$2:$A$49,0),MATCH(orders!K$1,products!$A$1:$G$1,0))</f>
        <v>2.5</v>
      </c>
      <c r="L815" s="12">
        <f>INDEX(products!$A$2:$G$49,MATCH(orders!$D815,products!$A$2:$A$49,0),MATCH(orders!L$1,products!$A$1:$G$1,0))</f>
        <v>31.624999999999996</v>
      </c>
      <c r="M815" s="12">
        <f t="shared" si="36"/>
        <v>31.624999999999996</v>
      </c>
      <c r="N815" s="10" t="str">
        <f t="shared" si="37"/>
        <v>Excelsa</v>
      </c>
      <c r="O815" s="10" t="str">
        <f t="shared" si="38"/>
        <v>Medium</v>
      </c>
      <c r="P815" s="10" t="str">
        <f>_xlfn.XLOOKUP(Tableau1[[#This Row],[Customer ID]],customers!A$2:A$1001,customers!I$2:I$1001)</f>
        <v>Yes</v>
      </c>
    </row>
    <row r="816" spans="1:16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9" t="str">
        <f>_xlfn.XLOOKUP(orders!C816,customers!$A$2:$A$1001,customers!$B$2:$B$1001)</f>
        <v>Silvanus Enefer</v>
      </c>
      <c r="G816" s="9" t="str">
        <f>IF(_xlfn.XLOOKUP(orders!C816,customers!$A$2:$A$1001,customers!$C$2:$C$1001,,,)=0,"",_xlfn.XLOOKUP(orders!C816,customers!$A$2:$A$1001,customers!$C$2:$C$1001,,,))</f>
        <v>senefermm@blog.com</v>
      </c>
      <c r="H816" s="9" t="str">
        <f>_xlfn.XLOOKUP(C816,customers!$A$2:$A$1001,customers!$G$2:$G$1001,"")</f>
        <v>United States</v>
      </c>
      <c r="I816" s="10" t="str">
        <f>INDEX(products!$A$2:$G$49,MATCH(orders!$D816,products!$A$2:$A$49,0),MATCH(orders!I$1,products!$A$1:$G$1,0))</f>
        <v>Exc</v>
      </c>
      <c r="J816" s="10" t="str">
        <f>INDEX(products!$A$2:$G$49,MATCH(orders!$D816,products!$A$2:$A$49,0),MATCH(orders!J$1,products!$A$1:$G$1,0))</f>
        <v>L</v>
      </c>
      <c r="K816" s="11">
        <f>INDEX(products!$A$2:$G$49,MATCH(orders!$D816,products!$A$2:$A$49,0),MATCH(orders!K$1,products!$A$1:$G$1,0))</f>
        <v>0.2</v>
      </c>
      <c r="L816" s="12">
        <f>INDEX(products!$A$2:$G$49,MATCH(orders!$D816,products!$A$2:$A$49,0),MATCH(orders!L$1,products!$A$1:$G$1,0))</f>
        <v>4.4550000000000001</v>
      </c>
      <c r="M816" s="12">
        <f t="shared" si="36"/>
        <v>8.91</v>
      </c>
      <c r="N816" s="10" t="str">
        <f t="shared" si="37"/>
        <v>Excelsa</v>
      </c>
      <c r="O816" s="10" t="str">
        <f t="shared" si="38"/>
        <v>Light</v>
      </c>
      <c r="P816" s="10" t="str">
        <f>_xlfn.XLOOKUP(Tableau1[[#This Row],[Customer ID]],customers!A$2:A$1001,customers!I$2:I$1001)</f>
        <v>No</v>
      </c>
    </row>
    <row r="817" spans="1:16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9" t="str">
        <f>_xlfn.XLOOKUP(orders!C817,customers!$A$2:$A$1001,customers!$B$2:$B$1001)</f>
        <v>Lenci Haggerstone</v>
      </c>
      <c r="G817" s="9" t="str">
        <f>IF(_xlfn.XLOOKUP(orders!C817,customers!$A$2:$A$1001,customers!$C$2:$C$1001,,,)=0,"",_xlfn.XLOOKUP(orders!C817,customers!$A$2:$A$1001,customers!$C$2:$C$1001,,,))</f>
        <v>lhaggerstonemn@independent.co.uk</v>
      </c>
      <c r="H817" s="9" t="str">
        <f>_xlfn.XLOOKUP(C817,customers!$A$2:$A$1001,customers!$G$2:$G$1001,"")</f>
        <v>United States</v>
      </c>
      <c r="I817" s="10" t="str">
        <f>INDEX(products!$A$2:$G$49,MATCH(orders!$D817,products!$A$2:$A$49,0),MATCH(orders!I$1,products!$A$1:$G$1,0))</f>
        <v>Rob</v>
      </c>
      <c r="J817" s="10" t="str">
        <f>INDEX(products!$A$2:$G$49,MATCH(orders!$D817,products!$A$2:$A$49,0),MATCH(orders!J$1,products!$A$1:$G$1,0))</f>
        <v>M</v>
      </c>
      <c r="K817" s="11">
        <f>INDEX(products!$A$2:$G$49,MATCH(orders!$D817,products!$A$2:$A$49,0),MATCH(orders!K$1,products!$A$1:$G$1,0))</f>
        <v>0.5</v>
      </c>
      <c r="L817" s="12">
        <f>INDEX(products!$A$2:$G$49,MATCH(orders!$D817,products!$A$2:$A$49,0),MATCH(orders!L$1,products!$A$1:$G$1,0))</f>
        <v>5.97</v>
      </c>
      <c r="M817" s="12">
        <f t="shared" si="36"/>
        <v>35.82</v>
      </c>
      <c r="N817" s="10" t="str">
        <f t="shared" si="37"/>
        <v>Robusta</v>
      </c>
      <c r="O817" s="10" t="str">
        <f t="shared" si="38"/>
        <v>Medium</v>
      </c>
      <c r="P817" s="10" t="str">
        <f>_xlfn.XLOOKUP(Tableau1[[#This Row],[Customer ID]],customers!A$2:A$1001,customers!I$2:I$1001)</f>
        <v>No</v>
      </c>
    </row>
    <row r="818" spans="1:16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9" t="str">
        <f>_xlfn.XLOOKUP(orders!C818,customers!$A$2:$A$1001,customers!$B$2:$B$1001)</f>
        <v>Marvin Gundry</v>
      </c>
      <c r="G818" s="9" t="str">
        <f>IF(_xlfn.XLOOKUP(orders!C818,customers!$A$2:$A$1001,customers!$C$2:$C$1001,,,)=0,"",_xlfn.XLOOKUP(orders!C818,customers!$A$2:$A$1001,customers!$C$2:$C$1001,,,))</f>
        <v>mgundrymo@omniture.com</v>
      </c>
      <c r="H818" s="9" t="str">
        <f>_xlfn.XLOOKUP(C818,customers!$A$2:$A$1001,customers!$G$2:$G$1001,"")</f>
        <v>Ireland</v>
      </c>
      <c r="I818" s="10" t="str">
        <f>INDEX(products!$A$2:$G$49,MATCH(orders!$D818,products!$A$2:$A$49,0),MATCH(orders!I$1,products!$A$1:$G$1,0))</f>
        <v>Lib</v>
      </c>
      <c r="J818" s="10" t="str">
        <f>INDEX(products!$A$2:$G$49,MATCH(orders!$D818,products!$A$2:$A$49,0),MATCH(orders!J$1,products!$A$1:$G$1,0))</f>
        <v>L</v>
      </c>
      <c r="K818" s="11">
        <f>INDEX(products!$A$2:$G$49,MATCH(orders!$D818,products!$A$2:$A$49,0),MATCH(orders!K$1,products!$A$1:$G$1,0))</f>
        <v>0.5</v>
      </c>
      <c r="L818" s="12">
        <f>INDEX(products!$A$2:$G$49,MATCH(orders!$D818,products!$A$2:$A$49,0),MATCH(orders!L$1,products!$A$1:$G$1,0))</f>
        <v>9.51</v>
      </c>
      <c r="M818" s="12">
        <f t="shared" si="36"/>
        <v>38.04</v>
      </c>
      <c r="N818" s="10" t="str">
        <f t="shared" si="37"/>
        <v>Liberica</v>
      </c>
      <c r="O818" s="10" t="str">
        <f t="shared" si="38"/>
        <v>Light</v>
      </c>
      <c r="P818" s="10" t="str">
        <f>_xlfn.XLOOKUP(Tableau1[[#This Row],[Customer ID]],customers!A$2:A$1001,customers!I$2:I$1001)</f>
        <v>No</v>
      </c>
    </row>
    <row r="819" spans="1:16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9" t="str">
        <f>_xlfn.XLOOKUP(orders!C819,customers!$A$2:$A$1001,customers!$B$2:$B$1001)</f>
        <v>Bayard Wellan</v>
      </c>
      <c r="G819" s="9" t="str">
        <f>IF(_xlfn.XLOOKUP(orders!C819,customers!$A$2:$A$1001,customers!$C$2:$C$1001,,,)=0,"",_xlfn.XLOOKUP(orders!C819,customers!$A$2:$A$1001,customers!$C$2:$C$1001,,,))</f>
        <v>bwellanmp@cafepress.com</v>
      </c>
      <c r="H819" s="9" t="str">
        <f>_xlfn.XLOOKUP(C819,customers!$A$2:$A$1001,customers!$G$2:$G$1001,"")</f>
        <v>United States</v>
      </c>
      <c r="I819" s="10" t="str">
        <f>INDEX(products!$A$2:$G$49,MATCH(orders!$D819,products!$A$2:$A$49,0),MATCH(orders!I$1,products!$A$1:$G$1,0))</f>
        <v>Lib</v>
      </c>
      <c r="J819" s="10" t="str">
        <f>INDEX(products!$A$2:$G$49,MATCH(orders!$D819,products!$A$2:$A$49,0),MATCH(orders!J$1,products!$A$1:$G$1,0))</f>
        <v>D</v>
      </c>
      <c r="K819" s="11">
        <f>INDEX(products!$A$2:$G$49,MATCH(orders!$D819,products!$A$2:$A$49,0),MATCH(orders!K$1,products!$A$1:$G$1,0))</f>
        <v>0.5</v>
      </c>
      <c r="L819" s="12">
        <f>INDEX(products!$A$2:$G$49,MATCH(orders!$D819,products!$A$2:$A$49,0),MATCH(orders!L$1,products!$A$1:$G$1,0))</f>
        <v>7.77</v>
      </c>
      <c r="M819" s="12">
        <f t="shared" si="36"/>
        <v>15.54</v>
      </c>
      <c r="N819" s="10" t="str">
        <f t="shared" si="37"/>
        <v>Liberica</v>
      </c>
      <c r="O819" s="10" t="str">
        <f t="shared" si="38"/>
        <v>Dark</v>
      </c>
      <c r="P819" s="10" t="str">
        <f>_xlfn.XLOOKUP(Tableau1[[#This Row],[Customer ID]],customers!A$2:A$1001,customers!I$2:I$1001)</f>
        <v>No</v>
      </c>
    </row>
    <row r="820" spans="1:16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9" t="str">
        <f>_xlfn.XLOOKUP(orders!C820,customers!$A$2:$A$1001,customers!$B$2:$B$1001)</f>
        <v>Allis Wilmore</v>
      </c>
      <c r="G820" s="9" t="str">
        <f>IF(_xlfn.XLOOKUP(orders!C820,customers!$A$2:$A$1001,customers!$C$2:$C$1001,,,)=0,"",_xlfn.XLOOKUP(orders!C820,customers!$A$2:$A$1001,customers!$C$2:$C$1001,,,))</f>
        <v/>
      </c>
      <c r="H820" s="9" t="str">
        <f>_xlfn.XLOOKUP(C820,customers!$A$2:$A$1001,customers!$G$2:$G$1001,"")</f>
        <v>United States</v>
      </c>
      <c r="I820" s="10" t="str">
        <f>INDEX(products!$A$2:$G$49,MATCH(orders!$D820,products!$A$2:$A$49,0),MATCH(orders!I$1,products!$A$1:$G$1,0))</f>
        <v>Lib</v>
      </c>
      <c r="J820" s="10" t="str">
        <f>INDEX(products!$A$2:$G$49,MATCH(orders!$D820,products!$A$2:$A$49,0),MATCH(orders!J$1,products!$A$1:$G$1,0))</f>
        <v>L</v>
      </c>
      <c r="K820" s="11">
        <f>INDEX(products!$A$2:$G$49,MATCH(orders!$D820,products!$A$2:$A$49,0),MATCH(orders!K$1,products!$A$1:$G$1,0))</f>
        <v>1</v>
      </c>
      <c r="L820" s="12">
        <f>INDEX(products!$A$2:$G$49,MATCH(orders!$D820,products!$A$2:$A$49,0),MATCH(orders!L$1,products!$A$1:$G$1,0))</f>
        <v>15.85</v>
      </c>
      <c r="M820" s="12">
        <f t="shared" si="36"/>
        <v>79.25</v>
      </c>
      <c r="N820" s="10" t="str">
        <f t="shared" si="37"/>
        <v>Liberica</v>
      </c>
      <c r="O820" s="10" t="str">
        <f t="shared" si="38"/>
        <v>Light</v>
      </c>
      <c r="P820" s="10" t="str">
        <f>_xlfn.XLOOKUP(Tableau1[[#This Row],[Customer ID]],customers!A$2:A$1001,customers!I$2:I$1001)</f>
        <v>No</v>
      </c>
    </row>
    <row r="821" spans="1:16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9" t="str">
        <f>_xlfn.XLOOKUP(orders!C821,customers!$A$2:$A$1001,customers!$B$2:$B$1001)</f>
        <v>Caddric Atcheson</v>
      </c>
      <c r="G821" s="9" t="str">
        <f>IF(_xlfn.XLOOKUP(orders!C821,customers!$A$2:$A$1001,customers!$C$2:$C$1001,,,)=0,"",_xlfn.XLOOKUP(orders!C821,customers!$A$2:$A$1001,customers!$C$2:$C$1001,,,))</f>
        <v>catchesonmr@xinhuanet.com</v>
      </c>
      <c r="H821" s="9" t="str">
        <f>_xlfn.XLOOKUP(C821,customers!$A$2:$A$1001,customers!$G$2:$G$1001,"")</f>
        <v>United States</v>
      </c>
      <c r="I821" s="10" t="str">
        <f>INDEX(products!$A$2:$G$49,MATCH(orders!$D821,products!$A$2:$A$49,0),MATCH(orders!I$1,products!$A$1:$G$1,0))</f>
        <v>Lib</v>
      </c>
      <c r="J821" s="10" t="str">
        <f>INDEX(products!$A$2:$G$49,MATCH(orders!$D821,products!$A$2:$A$49,0),MATCH(orders!J$1,products!$A$1:$G$1,0))</f>
        <v>L</v>
      </c>
      <c r="K821" s="11">
        <f>INDEX(products!$A$2:$G$49,MATCH(orders!$D821,products!$A$2:$A$49,0),MATCH(orders!K$1,products!$A$1:$G$1,0))</f>
        <v>0.2</v>
      </c>
      <c r="L821" s="12">
        <f>INDEX(products!$A$2:$G$49,MATCH(orders!$D821,products!$A$2:$A$49,0),MATCH(orders!L$1,products!$A$1:$G$1,0))</f>
        <v>4.7549999999999999</v>
      </c>
      <c r="M821" s="12">
        <f t="shared" si="36"/>
        <v>4.7549999999999999</v>
      </c>
      <c r="N821" s="10" t="str">
        <f t="shared" si="37"/>
        <v>Liberica</v>
      </c>
      <c r="O821" s="10" t="str">
        <f t="shared" si="38"/>
        <v>Light</v>
      </c>
      <c r="P821" s="10" t="str">
        <f>_xlfn.XLOOKUP(Tableau1[[#This Row],[Customer ID]],customers!A$2:A$1001,customers!I$2:I$1001)</f>
        <v>Yes</v>
      </c>
    </row>
    <row r="822" spans="1:16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9" t="str">
        <f>_xlfn.XLOOKUP(orders!C822,customers!$A$2:$A$1001,customers!$B$2:$B$1001)</f>
        <v>Eustace Stenton</v>
      </c>
      <c r="G822" s="9" t="str">
        <f>IF(_xlfn.XLOOKUP(orders!C822,customers!$A$2:$A$1001,customers!$C$2:$C$1001,,,)=0,"",_xlfn.XLOOKUP(orders!C822,customers!$A$2:$A$1001,customers!$C$2:$C$1001,,,))</f>
        <v>estentonms@google.it</v>
      </c>
      <c r="H822" s="9" t="str">
        <f>_xlfn.XLOOKUP(C822,customers!$A$2:$A$1001,customers!$G$2:$G$1001,"")</f>
        <v>United States</v>
      </c>
      <c r="I822" s="10" t="str">
        <f>INDEX(products!$A$2:$G$49,MATCH(orders!$D822,products!$A$2:$A$49,0),MATCH(orders!I$1,products!$A$1:$G$1,0))</f>
        <v>Exc</v>
      </c>
      <c r="J822" s="10" t="str">
        <f>INDEX(products!$A$2:$G$49,MATCH(orders!$D822,products!$A$2:$A$49,0),MATCH(orders!J$1,products!$A$1:$G$1,0))</f>
        <v>M</v>
      </c>
      <c r="K822" s="11">
        <f>INDEX(products!$A$2:$G$49,MATCH(orders!$D822,products!$A$2:$A$49,0),MATCH(orders!K$1,products!$A$1:$G$1,0))</f>
        <v>1</v>
      </c>
      <c r="L822" s="12">
        <f>INDEX(products!$A$2:$G$49,MATCH(orders!$D822,products!$A$2:$A$49,0),MATCH(orders!L$1,products!$A$1:$G$1,0))</f>
        <v>13.75</v>
      </c>
      <c r="M822" s="12">
        <f t="shared" si="36"/>
        <v>55</v>
      </c>
      <c r="N822" s="10" t="str">
        <f t="shared" si="37"/>
        <v>Excelsa</v>
      </c>
      <c r="O822" s="10" t="str">
        <f t="shared" si="38"/>
        <v>Medium</v>
      </c>
      <c r="P822" s="10" t="str">
        <f>_xlfn.XLOOKUP(Tableau1[[#This Row],[Customer ID]],customers!A$2:A$1001,customers!I$2:I$1001)</f>
        <v>Yes</v>
      </c>
    </row>
    <row r="823" spans="1:16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9" t="str">
        <f>_xlfn.XLOOKUP(orders!C823,customers!$A$2:$A$1001,customers!$B$2:$B$1001)</f>
        <v>Ericka Tripp</v>
      </c>
      <c r="G823" s="9" t="str">
        <f>IF(_xlfn.XLOOKUP(orders!C823,customers!$A$2:$A$1001,customers!$C$2:$C$1001,,,)=0,"",_xlfn.XLOOKUP(orders!C823,customers!$A$2:$A$1001,customers!$C$2:$C$1001,,,))</f>
        <v>etrippmt@wp.com</v>
      </c>
      <c r="H823" s="9" t="str">
        <f>_xlfn.XLOOKUP(C823,customers!$A$2:$A$1001,customers!$G$2:$G$1001,"")</f>
        <v>United States</v>
      </c>
      <c r="I823" s="10" t="str">
        <f>INDEX(products!$A$2:$G$49,MATCH(orders!$D823,products!$A$2:$A$49,0),MATCH(orders!I$1,products!$A$1:$G$1,0))</f>
        <v>Rob</v>
      </c>
      <c r="J823" s="10" t="str">
        <f>INDEX(products!$A$2:$G$49,MATCH(orders!$D823,products!$A$2:$A$49,0),MATCH(orders!J$1,products!$A$1:$G$1,0))</f>
        <v>D</v>
      </c>
      <c r="K823" s="11">
        <f>INDEX(products!$A$2:$G$49,MATCH(orders!$D823,products!$A$2:$A$49,0),MATCH(orders!K$1,products!$A$1:$G$1,0))</f>
        <v>0.5</v>
      </c>
      <c r="L823" s="12">
        <f>INDEX(products!$A$2:$G$49,MATCH(orders!$D823,products!$A$2:$A$49,0),MATCH(orders!L$1,products!$A$1:$G$1,0))</f>
        <v>5.3699999999999992</v>
      </c>
      <c r="M823" s="12">
        <f t="shared" si="36"/>
        <v>26.849999999999994</v>
      </c>
      <c r="N823" s="10" t="str">
        <f t="shared" si="37"/>
        <v>Robusta</v>
      </c>
      <c r="O823" s="10" t="str">
        <f t="shared" si="38"/>
        <v>Dark</v>
      </c>
      <c r="P823" s="10" t="str">
        <f>_xlfn.XLOOKUP(Tableau1[[#This Row],[Customer ID]],customers!A$2:A$1001,customers!I$2:I$1001)</f>
        <v>No</v>
      </c>
    </row>
    <row r="824" spans="1:16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9" t="str">
        <f>_xlfn.XLOOKUP(orders!C824,customers!$A$2:$A$1001,customers!$B$2:$B$1001)</f>
        <v>Lyndsey MacManus</v>
      </c>
      <c r="G824" s="9" t="str">
        <f>IF(_xlfn.XLOOKUP(orders!C824,customers!$A$2:$A$1001,customers!$C$2:$C$1001,,,)=0,"",_xlfn.XLOOKUP(orders!C824,customers!$A$2:$A$1001,customers!$C$2:$C$1001,,,))</f>
        <v>lmacmanusmu@imdb.com</v>
      </c>
      <c r="H824" s="9" t="str">
        <f>_xlfn.XLOOKUP(C824,customers!$A$2:$A$1001,customers!$G$2:$G$1001,"")</f>
        <v>United States</v>
      </c>
      <c r="I824" s="10" t="str">
        <f>INDEX(products!$A$2:$G$49,MATCH(orders!$D824,products!$A$2:$A$49,0),MATCH(orders!I$1,products!$A$1:$G$1,0))</f>
        <v>Exc</v>
      </c>
      <c r="J824" s="10" t="str">
        <f>INDEX(products!$A$2:$G$49,MATCH(orders!$D824,products!$A$2:$A$49,0),MATCH(orders!J$1,products!$A$1:$G$1,0))</f>
        <v>L</v>
      </c>
      <c r="K824" s="11">
        <f>INDEX(products!$A$2:$G$49,MATCH(orders!$D824,products!$A$2:$A$49,0),MATCH(orders!K$1,products!$A$1:$G$1,0))</f>
        <v>2.5</v>
      </c>
      <c r="L824" s="12">
        <f>INDEX(products!$A$2:$G$49,MATCH(orders!$D824,products!$A$2:$A$49,0),MATCH(orders!L$1,products!$A$1:$G$1,0))</f>
        <v>34.154999999999994</v>
      </c>
      <c r="M824" s="12">
        <f t="shared" si="36"/>
        <v>136.61999999999998</v>
      </c>
      <c r="N824" s="10" t="str">
        <f t="shared" si="37"/>
        <v>Excelsa</v>
      </c>
      <c r="O824" s="10" t="str">
        <f t="shared" si="38"/>
        <v>Light</v>
      </c>
      <c r="P824" s="10" t="str">
        <f>_xlfn.XLOOKUP(Tableau1[[#This Row],[Customer ID]],customers!A$2:A$1001,customers!I$2:I$1001)</f>
        <v>No</v>
      </c>
    </row>
    <row r="825" spans="1:16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9" t="str">
        <f>_xlfn.XLOOKUP(orders!C825,customers!$A$2:$A$1001,customers!$B$2:$B$1001)</f>
        <v>Tess Benediktovich</v>
      </c>
      <c r="G825" s="9" t="str">
        <f>IF(_xlfn.XLOOKUP(orders!C825,customers!$A$2:$A$1001,customers!$C$2:$C$1001,,,)=0,"",_xlfn.XLOOKUP(orders!C825,customers!$A$2:$A$1001,customers!$C$2:$C$1001,,,))</f>
        <v>tbenediktovichmv@ebay.com</v>
      </c>
      <c r="H825" s="9" t="str">
        <f>_xlfn.XLOOKUP(C825,customers!$A$2:$A$1001,customers!$G$2:$G$1001,"")</f>
        <v>United States</v>
      </c>
      <c r="I825" s="10" t="str">
        <f>INDEX(products!$A$2:$G$49,MATCH(orders!$D825,products!$A$2:$A$49,0),MATCH(orders!I$1,products!$A$1:$G$1,0))</f>
        <v>Lib</v>
      </c>
      <c r="J825" s="10" t="str">
        <f>INDEX(products!$A$2:$G$49,MATCH(orders!$D825,products!$A$2:$A$49,0),MATCH(orders!J$1,products!$A$1:$G$1,0))</f>
        <v>L</v>
      </c>
      <c r="K825" s="11">
        <f>INDEX(products!$A$2:$G$49,MATCH(orders!$D825,products!$A$2:$A$49,0),MATCH(orders!K$1,products!$A$1:$G$1,0))</f>
        <v>1</v>
      </c>
      <c r="L825" s="12">
        <f>INDEX(products!$A$2:$G$49,MATCH(orders!$D825,products!$A$2:$A$49,0),MATCH(orders!L$1,products!$A$1:$G$1,0))</f>
        <v>15.85</v>
      </c>
      <c r="M825" s="12">
        <f t="shared" si="36"/>
        <v>47.55</v>
      </c>
      <c r="N825" s="10" t="str">
        <f t="shared" si="37"/>
        <v>Liberica</v>
      </c>
      <c r="O825" s="10" t="str">
        <f t="shared" si="38"/>
        <v>Light</v>
      </c>
      <c r="P825" s="10" t="str">
        <f>_xlfn.XLOOKUP(Tableau1[[#This Row],[Customer ID]],customers!A$2:A$1001,customers!I$2:I$1001)</f>
        <v>Yes</v>
      </c>
    </row>
    <row r="826" spans="1:16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9" t="str">
        <f>_xlfn.XLOOKUP(orders!C826,customers!$A$2:$A$1001,customers!$B$2:$B$1001)</f>
        <v>Correy Bourner</v>
      </c>
      <c r="G826" s="9" t="str">
        <f>IF(_xlfn.XLOOKUP(orders!C826,customers!$A$2:$A$1001,customers!$C$2:$C$1001,,,)=0,"",_xlfn.XLOOKUP(orders!C826,customers!$A$2:$A$1001,customers!$C$2:$C$1001,,,))</f>
        <v>cbournermw@chronoengine.com</v>
      </c>
      <c r="H826" s="9" t="str">
        <f>_xlfn.XLOOKUP(C826,customers!$A$2:$A$1001,customers!$G$2:$G$1001,"")</f>
        <v>United States</v>
      </c>
      <c r="I826" s="10" t="str">
        <f>INDEX(products!$A$2:$G$49,MATCH(orders!$D826,products!$A$2:$A$49,0),MATCH(orders!I$1,products!$A$1:$G$1,0))</f>
        <v>Ara</v>
      </c>
      <c r="J826" s="10" t="str">
        <f>INDEX(products!$A$2:$G$49,MATCH(orders!$D826,products!$A$2:$A$49,0),MATCH(orders!J$1,products!$A$1:$G$1,0))</f>
        <v>M</v>
      </c>
      <c r="K826" s="11">
        <f>INDEX(products!$A$2:$G$49,MATCH(orders!$D826,products!$A$2:$A$49,0),MATCH(orders!K$1,products!$A$1:$G$1,0))</f>
        <v>0.2</v>
      </c>
      <c r="L826" s="12">
        <f>INDEX(products!$A$2:$G$49,MATCH(orders!$D826,products!$A$2:$A$49,0),MATCH(orders!L$1,products!$A$1:$G$1,0))</f>
        <v>3.375</v>
      </c>
      <c r="M826" s="12">
        <f t="shared" si="36"/>
        <v>16.875</v>
      </c>
      <c r="N826" s="10" t="str">
        <f t="shared" si="37"/>
        <v>Arabica</v>
      </c>
      <c r="O826" s="10" t="str">
        <f t="shared" si="38"/>
        <v>Medium</v>
      </c>
      <c r="P826" s="10" t="str">
        <f>_xlfn.XLOOKUP(Tableau1[[#This Row],[Customer ID]],customers!A$2:A$1001,customers!I$2:I$1001)</f>
        <v>Yes</v>
      </c>
    </row>
    <row r="827" spans="1:16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9" t="str">
        <f>_xlfn.XLOOKUP(orders!C827,customers!$A$2:$A$1001,customers!$B$2:$B$1001)</f>
        <v>Odelia Skerme</v>
      </c>
      <c r="G827" s="9" t="str">
        <f>IF(_xlfn.XLOOKUP(orders!C827,customers!$A$2:$A$1001,customers!$C$2:$C$1001,,,)=0,"",_xlfn.XLOOKUP(orders!C827,customers!$A$2:$A$1001,customers!$C$2:$C$1001,,,))</f>
        <v>oskermen3@hatena.ne.jp</v>
      </c>
      <c r="H827" s="9" t="str">
        <f>_xlfn.XLOOKUP(C827,customers!$A$2:$A$1001,customers!$G$2:$G$1001,"")</f>
        <v>United States</v>
      </c>
      <c r="I827" s="10" t="str">
        <f>INDEX(products!$A$2:$G$49,MATCH(orders!$D827,products!$A$2:$A$49,0),MATCH(orders!I$1,products!$A$1:$G$1,0))</f>
        <v>Ara</v>
      </c>
      <c r="J827" s="10" t="str">
        <f>INDEX(products!$A$2:$G$49,MATCH(orders!$D827,products!$A$2:$A$49,0),MATCH(orders!J$1,products!$A$1:$G$1,0))</f>
        <v>D</v>
      </c>
      <c r="K827" s="11">
        <f>INDEX(products!$A$2:$G$49,MATCH(orders!$D827,products!$A$2:$A$49,0),MATCH(orders!K$1,products!$A$1:$G$1,0))</f>
        <v>1</v>
      </c>
      <c r="L827" s="12">
        <f>INDEX(products!$A$2:$G$49,MATCH(orders!$D827,products!$A$2:$A$49,0),MATCH(orders!L$1,products!$A$1:$G$1,0))</f>
        <v>9.9499999999999993</v>
      </c>
      <c r="M827" s="12">
        <f t="shared" si="36"/>
        <v>29.849999999999998</v>
      </c>
      <c r="N827" s="10" t="str">
        <f t="shared" si="37"/>
        <v>Arabica</v>
      </c>
      <c r="O827" s="10" t="str">
        <f t="shared" si="38"/>
        <v>Dark</v>
      </c>
      <c r="P827" s="10" t="str">
        <f>_xlfn.XLOOKUP(Tableau1[[#This Row],[Customer ID]],customers!A$2:A$1001,customers!I$2:I$1001)</f>
        <v>Yes</v>
      </c>
    </row>
    <row r="828" spans="1:16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9" t="str">
        <f>_xlfn.XLOOKUP(orders!C828,customers!$A$2:$A$1001,customers!$B$2:$B$1001)</f>
        <v>Kandy Heddan</v>
      </c>
      <c r="G828" s="9" t="str">
        <f>IF(_xlfn.XLOOKUP(orders!C828,customers!$A$2:$A$1001,customers!$C$2:$C$1001,,,)=0,"",_xlfn.XLOOKUP(orders!C828,customers!$A$2:$A$1001,customers!$C$2:$C$1001,,,))</f>
        <v>kheddanmy@icq.com</v>
      </c>
      <c r="H828" s="9" t="str">
        <f>_xlfn.XLOOKUP(C828,customers!$A$2:$A$1001,customers!$G$2:$G$1001,"")</f>
        <v>United States</v>
      </c>
      <c r="I828" s="10" t="str">
        <f>INDEX(products!$A$2:$G$49,MATCH(orders!$D828,products!$A$2:$A$49,0),MATCH(orders!I$1,products!$A$1:$G$1,0))</f>
        <v>Exc</v>
      </c>
      <c r="J828" s="10" t="str">
        <f>INDEX(products!$A$2:$G$49,MATCH(orders!$D828,products!$A$2:$A$49,0),MATCH(orders!J$1,products!$A$1:$G$1,0))</f>
        <v>M</v>
      </c>
      <c r="K828" s="11">
        <f>INDEX(products!$A$2:$G$49,MATCH(orders!$D828,products!$A$2:$A$49,0),MATCH(orders!K$1,products!$A$1:$G$1,0))</f>
        <v>0.5</v>
      </c>
      <c r="L828" s="12">
        <f>INDEX(products!$A$2:$G$49,MATCH(orders!$D828,products!$A$2:$A$49,0),MATCH(orders!L$1,products!$A$1:$G$1,0))</f>
        <v>8.25</v>
      </c>
      <c r="M828" s="12">
        <f t="shared" si="36"/>
        <v>41.25</v>
      </c>
      <c r="N828" s="10" t="str">
        <f t="shared" si="37"/>
        <v>Excelsa</v>
      </c>
      <c r="O828" s="10" t="str">
        <f t="shared" si="38"/>
        <v>Medium</v>
      </c>
      <c r="P828" s="10" t="str">
        <f>_xlfn.XLOOKUP(Tableau1[[#This Row],[Customer ID]],customers!A$2:A$1001,customers!I$2:I$1001)</f>
        <v>Yes</v>
      </c>
    </row>
    <row r="829" spans="1:16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9" t="str">
        <f>_xlfn.XLOOKUP(orders!C829,customers!$A$2:$A$1001,customers!$B$2:$B$1001)</f>
        <v>Ibby Charters</v>
      </c>
      <c r="G829" s="9" t="str">
        <f>IF(_xlfn.XLOOKUP(orders!C829,customers!$A$2:$A$1001,customers!$C$2:$C$1001,,,)=0,"",_xlfn.XLOOKUP(orders!C829,customers!$A$2:$A$1001,customers!$C$2:$C$1001,,,))</f>
        <v>ichartersmz@abc.net.au</v>
      </c>
      <c r="H829" s="9" t="str">
        <f>_xlfn.XLOOKUP(C829,customers!$A$2:$A$1001,customers!$G$2:$G$1001,"")</f>
        <v>United States</v>
      </c>
      <c r="I829" s="10" t="str">
        <f>INDEX(products!$A$2:$G$49,MATCH(orders!$D829,products!$A$2:$A$49,0),MATCH(orders!I$1,products!$A$1:$G$1,0))</f>
        <v>Exc</v>
      </c>
      <c r="J829" s="10" t="str">
        <f>INDEX(products!$A$2:$G$49,MATCH(orders!$D829,products!$A$2:$A$49,0),MATCH(orders!J$1,products!$A$1:$G$1,0))</f>
        <v>M</v>
      </c>
      <c r="K829" s="11">
        <f>INDEX(products!$A$2:$G$49,MATCH(orders!$D829,products!$A$2:$A$49,0),MATCH(orders!K$1,products!$A$1:$G$1,0))</f>
        <v>0.2</v>
      </c>
      <c r="L829" s="12">
        <f>INDEX(products!$A$2:$G$49,MATCH(orders!$D829,products!$A$2:$A$49,0),MATCH(orders!L$1,products!$A$1:$G$1,0))</f>
        <v>4.125</v>
      </c>
      <c r="M829" s="12">
        <f t="shared" si="36"/>
        <v>20.625</v>
      </c>
      <c r="N829" s="10" t="str">
        <f t="shared" si="37"/>
        <v>Excelsa</v>
      </c>
      <c r="O829" s="10" t="str">
        <f t="shared" si="38"/>
        <v>Medium</v>
      </c>
      <c r="P829" s="10" t="str">
        <f>_xlfn.XLOOKUP(Tableau1[[#This Row],[Customer ID]],customers!A$2:A$1001,customers!I$2:I$1001)</f>
        <v>No</v>
      </c>
    </row>
    <row r="830" spans="1:16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9" t="str">
        <f>_xlfn.XLOOKUP(orders!C830,customers!$A$2:$A$1001,customers!$B$2:$B$1001)</f>
        <v>Adora Roubert</v>
      </c>
      <c r="G830" s="9" t="str">
        <f>IF(_xlfn.XLOOKUP(orders!C830,customers!$A$2:$A$1001,customers!$C$2:$C$1001,,,)=0,"",_xlfn.XLOOKUP(orders!C830,customers!$A$2:$A$1001,customers!$C$2:$C$1001,,,))</f>
        <v>aroubertn0@tmall.com</v>
      </c>
      <c r="H830" s="9" t="str">
        <f>_xlfn.XLOOKUP(C830,customers!$A$2:$A$1001,customers!$G$2:$G$1001,"")</f>
        <v>United States</v>
      </c>
      <c r="I830" s="10" t="str">
        <f>INDEX(products!$A$2:$G$49,MATCH(orders!$D830,products!$A$2:$A$49,0),MATCH(orders!I$1,products!$A$1:$G$1,0))</f>
        <v>Ara</v>
      </c>
      <c r="J830" s="10" t="str">
        <f>INDEX(products!$A$2:$G$49,MATCH(orders!$D830,products!$A$2:$A$49,0),MATCH(orders!J$1,products!$A$1:$G$1,0))</f>
        <v>D</v>
      </c>
      <c r="K830" s="11">
        <f>INDEX(products!$A$2:$G$49,MATCH(orders!$D830,products!$A$2:$A$49,0),MATCH(orders!K$1,products!$A$1:$G$1,0))</f>
        <v>2.5</v>
      </c>
      <c r="L830" s="12">
        <f>INDEX(products!$A$2:$G$49,MATCH(orders!$D830,products!$A$2:$A$49,0),MATCH(orders!L$1,products!$A$1:$G$1,0))</f>
        <v>22.884999999999998</v>
      </c>
      <c r="M830" s="12">
        <f t="shared" si="36"/>
        <v>137.31</v>
      </c>
      <c r="N830" s="10" t="str">
        <f t="shared" si="37"/>
        <v>Arabica</v>
      </c>
      <c r="O830" s="10" t="str">
        <f t="shared" si="38"/>
        <v>Dark</v>
      </c>
      <c r="P830" s="10" t="str">
        <f>_xlfn.XLOOKUP(Tableau1[[#This Row],[Customer ID]],customers!A$2:A$1001,customers!I$2:I$1001)</f>
        <v>Yes</v>
      </c>
    </row>
    <row r="831" spans="1:16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9" t="str">
        <f>_xlfn.XLOOKUP(orders!C831,customers!$A$2:$A$1001,customers!$B$2:$B$1001)</f>
        <v>Hillel Mairs</v>
      </c>
      <c r="G831" s="9" t="str">
        <f>IF(_xlfn.XLOOKUP(orders!C831,customers!$A$2:$A$1001,customers!$C$2:$C$1001,,,)=0,"",_xlfn.XLOOKUP(orders!C831,customers!$A$2:$A$1001,customers!$C$2:$C$1001,,,))</f>
        <v>hmairsn1@so-net.ne.jp</v>
      </c>
      <c r="H831" s="9" t="str">
        <f>_xlfn.XLOOKUP(C831,customers!$A$2:$A$1001,customers!$G$2:$G$1001,"")</f>
        <v>United States</v>
      </c>
      <c r="I831" s="10" t="str">
        <f>INDEX(products!$A$2:$G$49,MATCH(orders!$D831,products!$A$2:$A$49,0),MATCH(orders!I$1,products!$A$1:$G$1,0))</f>
        <v>Ara</v>
      </c>
      <c r="J831" s="10" t="str">
        <f>INDEX(products!$A$2:$G$49,MATCH(orders!$D831,products!$A$2:$A$49,0),MATCH(orders!J$1,products!$A$1:$G$1,0))</f>
        <v>D</v>
      </c>
      <c r="K831" s="11">
        <f>INDEX(products!$A$2:$G$49,MATCH(orders!$D831,products!$A$2:$A$49,0),MATCH(orders!K$1,products!$A$1:$G$1,0))</f>
        <v>0.2</v>
      </c>
      <c r="L831" s="12">
        <f>INDEX(products!$A$2:$G$49,MATCH(orders!$D831,products!$A$2:$A$49,0),MATCH(orders!L$1,products!$A$1:$G$1,0))</f>
        <v>2.9849999999999999</v>
      </c>
      <c r="M831" s="12">
        <f t="shared" si="36"/>
        <v>2.9849999999999999</v>
      </c>
      <c r="N831" s="10" t="str">
        <f t="shared" si="37"/>
        <v>Arabica</v>
      </c>
      <c r="O831" s="10" t="str">
        <f t="shared" si="38"/>
        <v>Dark</v>
      </c>
      <c r="P831" s="10" t="str">
        <f>_xlfn.XLOOKUP(Tableau1[[#This Row],[Customer ID]],customers!A$2:A$1001,customers!I$2:I$1001)</f>
        <v>No</v>
      </c>
    </row>
    <row r="832" spans="1:16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9" t="str">
        <f>_xlfn.XLOOKUP(orders!C832,customers!$A$2:$A$1001,customers!$B$2:$B$1001)</f>
        <v>Helaina Rainforth</v>
      </c>
      <c r="G832" s="9" t="str">
        <f>IF(_xlfn.XLOOKUP(orders!C832,customers!$A$2:$A$1001,customers!$C$2:$C$1001,,,)=0,"",_xlfn.XLOOKUP(orders!C832,customers!$A$2:$A$1001,customers!$C$2:$C$1001,,,))</f>
        <v>hrainforthn2@blog.com</v>
      </c>
      <c r="H832" s="9" t="str">
        <f>_xlfn.XLOOKUP(C832,customers!$A$2:$A$1001,customers!$G$2:$G$1001,"")</f>
        <v>United States</v>
      </c>
      <c r="I832" s="10" t="str">
        <f>INDEX(products!$A$2:$G$49,MATCH(orders!$D832,products!$A$2:$A$49,0),MATCH(orders!I$1,products!$A$1:$G$1,0))</f>
        <v>Exc</v>
      </c>
      <c r="J832" s="10" t="str">
        <f>INDEX(products!$A$2:$G$49,MATCH(orders!$D832,products!$A$2:$A$49,0),MATCH(orders!J$1,products!$A$1:$G$1,0))</f>
        <v>M</v>
      </c>
      <c r="K832" s="11">
        <f>INDEX(products!$A$2:$G$49,MATCH(orders!$D832,products!$A$2:$A$49,0),MATCH(orders!K$1,products!$A$1:$G$1,0))</f>
        <v>1</v>
      </c>
      <c r="L832" s="12">
        <f>INDEX(products!$A$2:$G$49,MATCH(orders!$D832,products!$A$2:$A$49,0),MATCH(orders!L$1,products!$A$1:$G$1,0))</f>
        <v>13.75</v>
      </c>
      <c r="M832" s="12">
        <f t="shared" si="36"/>
        <v>27.5</v>
      </c>
      <c r="N832" s="10" t="str">
        <f t="shared" si="37"/>
        <v>Excelsa</v>
      </c>
      <c r="O832" s="10" t="str">
        <f t="shared" si="38"/>
        <v>Medium</v>
      </c>
      <c r="P832" s="10" t="str">
        <f>_xlfn.XLOOKUP(Tableau1[[#This Row],[Customer ID]],customers!A$2:A$1001,customers!I$2:I$1001)</f>
        <v>No</v>
      </c>
    </row>
    <row r="833" spans="1:16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9" t="str">
        <f>_xlfn.XLOOKUP(orders!C833,customers!$A$2:$A$1001,customers!$B$2:$B$1001)</f>
        <v>Helaina Rainforth</v>
      </c>
      <c r="G833" s="9" t="str">
        <f>IF(_xlfn.XLOOKUP(orders!C833,customers!$A$2:$A$1001,customers!$C$2:$C$1001,,,)=0,"",_xlfn.XLOOKUP(orders!C833,customers!$A$2:$A$1001,customers!$C$2:$C$1001,,,))</f>
        <v>hrainforthn2@blog.com</v>
      </c>
      <c r="H833" s="9" t="str">
        <f>_xlfn.XLOOKUP(C833,customers!$A$2:$A$1001,customers!$G$2:$G$1001,"")</f>
        <v>United States</v>
      </c>
      <c r="I833" s="10" t="str">
        <f>INDEX(products!$A$2:$G$49,MATCH(orders!$D833,products!$A$2:$A$49,0),MATCH(orders!I$1,products!$A$1:$G$1,0))</f>
        <v>Ara</v>
      </c>
      <c r="J833" s="10" t="str">
        <f>INDEX(products!$A$2:$G$49,MATCH(orders!$D833,products!$A$2:$A$49,0),MATCH(orders!J$1,products!$A$1:$G$1,0))</f>
        <v>D</v>
      </c>
      <c r="K833" s="11">
        <f>INDEX(products!$A$2:$G$49,MATCH(orders!$D833,products!$A$2:$A$49,0),MATCH(orders!K$1,products!$A$1:$G$1,0))</f>
        <v>0.2</v>
      </c>
      <c r="L833" s="12">
        <f>INDEX(products!$A$2:$G$49,MATCH(orders!$D833,products!$A$2:$A$49,0),MATCH(orders!L$1,products!$A$1:$G$1,0))</f>
        <v>2.9849999999999999</v>
      </c>
      <c r="M833" s="12">
        <f t="shared" si="36"/>
        <v>5.97</v>
      </c>
      <c r="N833" s="10" t="str">
        <f t="shared" si="37"/>
        <v>Arabica</v>
      </c>
      <c r="O833" s="10" t="str">
        <f t="shared" si="38"/>
        <v>Dark</v>
      </c>
      <c r="P833" s="10" t="str">
        <f>_xlfn.XLOOKUP(Tableau1[[#This Row],[Customer ID]],customers!A$2:A$1001,customers!I$2:I$1001)</f>
        <v>No</v>
      </c>
    </row>
    <row r="834" spans="1:16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9" t="str">
        <f>_xlfn.XLOOKUP(orders!C834,customers!$A$2:$A$1001,customers!$B$2:$B$1001)</f>
        <v>Isac Jesper</v>
      </c>
      <c r="G834" s="9" t="str">
        <f>IF(_xlfn.XLOOKUP(orders!C834,customers!$A$2:$A$1001,customers!$C$2:$C$1001,,,)=0,"",_xlfn.XLOOKUP(orders!C834,customers!$A$2:$A$1001,customers!$C$2:$C$1001,,,))</f>
        <v>ijespern4@theglobeandmail.com</v>
      </c>
      <c r="H834" s="9" t="str">
        <f>_xlfn.XLOOKUP(C834,customers!$A$2:$A$1001,customers!$G$2:$G$1001,"")</f>
        <v>United States</v>
      </c>
      <c r="I834" s="10" t="str">
        <f>INDEX(products!$A$2:$G$49,MATCH(orders!$D834,products!$A$2:$A$49,0),MATCH(orders!I$1,products!$A$1:$G$1,0))</f>
        <v>Rob</v>
      </c>
      <c r="J834" s="10" t="str">
        <f>INDEX(products!$A$2:$G$49,MATCH(orders!$D834,products!$A$2:$A$49,0),MATCH(orders!J$1,products!$A$1:$G$1,0))</f>
        <v>M</v>
      </c>
      <c r="K834" s="11">
        <f>INDEX(products!$A$2:$G$49,MATCH(orders!$D834,products!$A$2:$A$49,0),MATCH(orders!K$1,products!$A$1:$G$1,0))</f>
        <v>1</v>
      </c>
      <c r="L834" s="12">
        <f>INDEX(products!$A$2:$G$49,MATCH(orders!$D834,products!$A$2:$A$49,0),MATCH(orders!L$1,products!$A$1:$G$1,0))</f>
        <v>9.9499999999999993</v>
      </c>
      <c r="M834" s="12">
        <f t="shared" si="36"/>
        <v>59.699999999999996</v>
      </c>
      <c r="N834" s="10" t="str">
        <f t="shared" si="37"/>
        <v>Robusta</v>
      </c>
      <c r="O834" s="10" t="str">
        <f t="shared" si="38"/>
        <v>Medium</v>
      </c>
      <c r="P834" s="10" t="str">
        <f>_xlfn.XLOOKUP(Tableau1[[#This Row],[Customer ID]],customers!A$2:A$1001,customers!I$2:I$1001)</f>
        <v>No</v>
      </c>
    </row>
    <row r="835" spans="1:16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9" t="str">
        <f>_xlfn.XLOOKUP(orders!C835,customers!$A$2:$A$1001,customers!$B$2:$B$1001)</f>
        <v>Lenette Dwerryhouse</v>
      </c>
      <c r="G835" s="9" t="str">
        <f>IF(_xlfn.XLOOKUP(orders!C835,customers!$A$2:$A$1001,customers!$C$2:$C$1001,,,)=0,"",_xlfn.XLOOKUP(orders!C835,customers!$A$2:$A$1001,customers!$C$2:$C$1001,,,))</f>
        <v>ldwerryhousen5@gravatar.com</v>
      </c>
      <c r="H835" s="9" t="str">
        <f>_xlfn.XLOOKUP(C835,customers!$A$2:$A$1001,customers!$G$2:$G$1001,"")</f>
        <v>United States</v>
      </c>
      <c r="I835" s="10" t="str">
        <f>INDEX(products!$A$2:$G$49,MATCH(orders!$D835,products!$A$2:$A$49,0),MATCH(orders!I$1,products!$A$1:$G$1,0))</f>
        <v>Rob</v>
      </c>
      <c r="J835" s="10" t="str">
        <f>INDEX(products!$A$2:$G$49,MATCH(orders!$D835,products!$A$2:$A$49,0),MATCH(orders!J$1,products!$A$1:$G$1,0))</f>
        <v>D</v>
      </c>
      <c r="K835" s="11">
        <f>INDEX(products!$A$2:$G$49,MATCH(orders!$D835,products!$A$2:$A$49,0),MATCH(orders!K$1,products!$A$1:$G$1,0))</f>
        <v>2.5</v>
      </c>
      <c r="L835" s="12">
        <f>INDEX(products!$A$2:$G$49,MATCH(orders!$D835,products!$A$2:$A$49,0),MATCH(orders!L$1,products!$A$1:$G$1,0))</f>
        <v>20.584999999999997</v>
      </c>
      <c r="M835" s="12">
        <f t="shared" ref="M835:M898" si="39">L835*E835</f>
        <v>82.339999999999989</v>
      </c>
      <c r="N835" s="10" t="str">
        <f t="shared" ref="N835:N898" si="40">IF(I835="Rob","Robusta",IF(I835="Exc","Excelsa",IF(I835="Ara","Arabica",IF(I835="Lib","Liberica"))))</f>
        <v>Robusta</v>
      </c>
      <c r="O835" s="10" t="str">
        <f t="shared" ref="O835:O898" si="41">IF(J835="M","Medium",IF(J835="L","Light",IF(J835="D","Dark")))</f>
        <v>Dark</v>
      </c>
      <c r="P835" s="10" t="str">
        <f>_xlfn.XLOOKUP(Tableau1[[#This Row],[Customer ID]],customers!A$2:A$1001,customers!I$2:I$1001)</f>
        <v>Yes</v>
      </c>
    </row>
    <row r="836" spans="1:16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9" t="str">
        <f>_xlfn.XLOOKUP(orders!C836,customers!$A$2:$A$1001,customers!$B$2:$B$1001)</f>
        <v>Nadeen Broomer</v>
      </c>
      <c r="G836" s="9" t="str">
        <f>IF(_xlfn.XLOOKUP(orders!C836,customers!$A$2:$A$1001,customers!$C$2:$C$1001,,,)=0,"",_xlfn.XLOOKUP(orders!C836,customers!$A$2:$A$1001,customers!$C$2:$C$1001,,,))</f>
        <v>nbroomern6@examiner.com</v>
      </c>
      <c r="H836" s="9" t="str">
        <f>_xlfn.XLOOKUP(C836,customers!$A$2:$A$1001,customers!$G$2:$G$1001,"")</f>
        <v>United States</v>
      </c>
      <c r="I836" s="10" t="str">
        <f>INDEX(products!$A$2:$G$49,MATCH(orders!$D836,products!$A$2:$A$49,0),MATCH(orders!I$1,products!$A$1:$G$1,0))</f>
        <v>Ara</v>
      </c>
      <c r="J836" s="10" t="str">
        <f>INDEX(products!$A$2:$G$49,MATCH(orders!$D836,products!$A$2:$A$49,0),MATCH(orders!J$1,products!$A$1:$G$1,0))</f>
        <v>D</v>
      </c>
      <c r="K836" s="11">
        <f>INDEX(products!$A$2:$G$49,MATCH(orders!$D836,products!$A$2:$A$49,0),MATCH(orders!K$1,products!$A$1:$G$1,0))</f>
        <v>2.5</v>
      </c>
      <c r="L836" s="12">
        <f>INDEX(products!$A$2:$G$49,MATCH(orders!$D836,products!$A$2:$A$49,0),MATCH(orders!L$1,products!$A$1:$G$1,0))</f>
        <v>22.884999999999998</v>
      </c>
      <c r="M836" s="12">
        <f t="shared" si="39"/>
        <v>22.884999999999998</v>
      </c>
      <c r="N836" s="10" t="str">
        <f t="shared" si="40"/>
        <v>Arabica</v>
      </c>
      <c r="O836" s="10" t="str">
        <f t="shared" si="41"/>
        <v>Dark</v>
      </c>
      <c r="P836" s="10" t="str">
        <f>_xlfn.XLOOKUP(Tableau1[[#This Row],[Customer ID]],customers!A$2:A$1001,customers!I$2:I$1001)</f>
        <v>No</v>
      </c>
    </row>
    <row r="837" spans="1:16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9" t="str">
        <f>_xlfn.XLOOKUP(orders!C837,customers!$A$2:$A$1001,customers!$B$2:$B$1001)</f>
        <v>Konstantine Thoumasson</v>
      </c>
      <c r="G837" s="9" t="str">
        <f>IF(_xlfn.XLOOKUP(orders!C837,customers!$A$2:$A$1001,customers!$C$2:$C$1001,,,)=0,"",_xlfn.XLOOKUP(orders!C837,customers!$A$2:$A$1001,customers!$C$2:$C$1001,,,))</f>
        <v>kthoumassonn7@bloglovin.com</v>
      </c>
      <c r="H837" s="9" t="str">
        <f>_xlfn.XLOOKUP(C837,customers!$A$2:$A$1001,customers!$G$2:$G$1001,"")</f>
        <v>United States</v>
      </c>
      <c r="I837" s="10" t="str">
        <f>INDEX(products!$A$2:$G$49,MATCH(orders!$D837,products!$A$2:$A$49,0),MATCH(orders!I$1,products!$A$1:$G$1,0))</f>
        <v>Exc</v>
      </c>
      <c r="J837" s="10" t="str">
        <f>INDEX(products!$A$2:$G$49,MATCH(orders!$D837,products!$A$2:$A$49,0),MATCH(orders!J$1,products!$A$1:$G$1,0))</f>
        <v>L</v>
      </c>
      <c r="K837" s="11">
        <f>INDEX(products!$A$2:$G$49,MATCH(orders!$D837,products!$A$2:$A$49,0),MATCH(orders!K$1,products!$A$1:$G$1,0))</f>
        <v>0.5</v>
      </c>
      <c r="L837" s="12">
        <f>INDEX(products!$A$2:$G$49,MATCH(orders!$D837,products!$A$2:$A$49,0),MATCH(orders!L$1,products!$A$1:$G$1,0))</f>
        <v>8.91</v>
      </c>
      <c r="M837" s="12">
        <f t="shared" si="39"/>
        <v>8.91</v>
      </c>
      <c r="N837" s="10" t="str">
        <f t="shared" si="40"/>
        <v>Excelsa</v>
      </c>
      <c r="O837" s="10" t="str">
        <f t="shared" si="41"/>
        <v>Light</v>
      </c>
      <c r="P837" s="10" t="str">
        <f>_xlfn.XLOOKUP(Tableau1[[#This Row],[Customer ID]],customers!A$2:A$1001,customers!I$2:I$1001)</f>
        <v>Yes</v>
      </c>
    </row>
    <row r="838" spans="1:16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9" t="str">
        <f>_xlfn.XLOOKUP(orders!C838,customers!$A$2:$A$1001,customers!$B$2:$B$1001)</f>
        <v>Frans Habbergham</v>
      </c>
      <c r="G838" s="9" t="str">
        <f>IF(_xlfn.XLOOKUP(orders!C838,customers!$A$2:$A$1001,customers!$C$2:$C$1001,,,)=0,"",_xlfn.XLOOKUP(orders!C838,customers!$A$2:$A$1001,customers!$C$2:$C$1001,,,))</f>
        <v>fhabberghamn8@discovery.com</v>
      </c>
      <c r="H838" s="9" t="str">
        <f>_xlfn.XLOOKUP(C838,customers!$A$2:$A$1001,customers!$G$2:$G$1001,"")</f>
        <v>United States</v>
      </c>
      <c r="I838" s="10" t="str">
        <f>INDEX(products!$A$2:$G$49,MATCH(orders!$D838,products!$A$2:$A$49,0),MATCH(orders!I$1,products!$A$1:$G$1,0))</f>
        <v>Ara</v>
      </c>
      <c r="J838" s="10" t="str">
        <f>INDEX(products!$A$2:$G$49,MATCH(orders!$D838,products!$A$2:$A$49,0),MATCH(orders!J$1,products!$A$1:$G$1,0))</f>
        <v>D</v>
      </c>
      <c r="K838" s="11">
        <f>INDEX(products!$A$2:$G$49,MATCH(orders!$D838,products!$A$2:$A$49,0),MATCH(orders!K$1,products!$A$1:$G$1,0))</f>
        <v>0.2</v>
      </c>
      <c r="L838" s="12">
        <f>INDEX(products!$A$2:$G$49,MATCH(orders!$D838,products!$A$2:$A$49,0),MATCH(orders!L$1,products!$A$1:$G$1,0))</f>
        <v>2.9849999999999999</v>
      </c>
      <c r="M838" s="12">
        <f t="shared" si="39"/>
        <v>11.94</v>
      </c>
      <c r="N838" s="10" t="str">
        <f t="shared" si="40"/>
        <v>Arabica</v>
      </c>
      <c r="O838" s="10" t="str">
        <f t="shared" si="41"/>
        <v>Dark</v>
      </c>
      <c r="P838" s="10" t="str">
        <f>_xlfn.XLOOKUP(Tableau1[[#This Row],[Customer ID]],customers!A$2:A$1001,customers!I$2:I$1001)</f>
        <v>No</v>
      </c>
    </row>
    <row r="839" spans="1:16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9" t="str">
        <f>_xlfn.XLOOKUP(orders!C839,customers!$A$2:$A$1001,customers!$B$2:$B$1001)</f>
        <v>Allis Wilmore</v>
      </c>
      <c r="G839" s="9" t="str">
        <f>IF(_xlfn.XLOOKUP(orders!C839,customers!$A$2:$A$1001,customers!$C$2:$C$1001,,,)=0,"",_xlfn.XLOOKUP(orders!C839,customers!$A$2:$A$1001,customers!$C$2:$C$1001,,,))</f>
        <v/>
      </c>
      <c r="H839" s="9" t="str">
        <f>_xlfn.XLOOKUP(C839,customers!$A$2:$A$1001,customers!$G$2:$G$1001,"")</f>
        <v>United States</v>
      </c>
      <c r="I839" s="10" t="str">
        <f>INDEX(products!$A$2:$G$49,MATCH(orders!$D839,products!$A$2:$A$49,0),MATCH(orders!I$1,products!$A$1:$G$1,0))</f>
        <v>Lib</v>
      </c>
      <c r="J839" s="10" t="str">
        <f>INDEX(products!$A$2:$G$49,MATCH(orders!$D839,products!$A$2:$A$49,0),MATCH(orders!J$1,products!$A$1:$G$1,0))</f>
        <v>M</v>
      </c>
      <c r="K839" s="11">
        <f>INDEX(products!$A$2:$G$49,MATCH(orders!$D839,products!$A$2:$A$49,0),MATCH(orders!K$1,products!$A$1:$G$1,0))</f>
        <v>2.5</v>
      </c>
      <c r="L839" s="12">
        <f>INDEX(products!$A$2:$G$49,MATCH(orders!$D839,products!$A$2:$A$49,0),MATCH(orders!L$1,products!$A$1:$G$1,0))</f>
        <v>33.464999999999996</v>
      </c>
      <c r="M839" s="12">
        <f t="shared" si="39"/>
        <v>100.39499999999998</v>
      </c>
      <c r="N839" s="10" t="str">
        <f t="shared" si="40"/>
        <v>Liberica</v>
      </c>
      <c r="O839" s="10" t="str">
        <f t="shared" si="41"/>
        <v>Medium</v>
      </c>
      <c r="P839" s="10" t="str">
        <f>_xlfn.XLOOKUP(Tableau1[[#This Row],[Customer ID]],customers!A$2:A$1001,customers!I$2:I$1001)</f>
        <v>No</v>
      </c>
    </row>
    <row r="840" spans="1:16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9" t="str">
        <f>_xlfn.XLOOKUP(orders!C840,customers!$A$2:$A$1001,customers!$B$2:$B$1001)</f>
        <v>Romain Avrashin</v>
      </c>
      <c r="G840" s="9" t="str">
        <f>IF(_xlfn.XLOOKUP(orders!C840,customers!$A$2:$A$1001,customers!$C$2:$C$1001,,,)=0,"",_xlfn.XLOOKUP(orders!C840,customers!$A$2:$A$1001,customers!$C$2:$C$1001,,,))</f>
        <v>ravrashinna@tamu.edu</v>
      </c>
      <c r="H840" s="9" t="str">
        <f>_xlfn.XLOOKUP(C840,customers!$A$2:$A$1001,customers!$G$2:$G$1001,"")</f>
        <v>United States</v>
      </c>
      <c r="I840" s="10" t="str">
        <f>INDEX(products!$A$2:$G$49,MATCH(orders!$D840,products!$A$2:$A$49,0),MATCH(orders!I$1,products!$A$1:$G$1,0))</f>
        <v>Ara</v>
      </c>
      <c r="J840" s="10" t="str">
        <f>INDEX(products!$A$2:$G$49,MATCH(orders!$D840,products!$A$2:$A$49,0),MATCH(orders!J$1,products!$A$1:$G$1,0))</f>
        <v>D</v>
      </c>
      <c r="K840" s="11">
        <f>INDEX(products!$A$2:$G$49,MATCH(orders!$D840,products!$A$2:$A$49,0),MATCH(orders!K$1,products!$A$1:$G$1,0))</f>
        <v>2.5</v>
      </c>
      <c r="L840" s="12">
        <f>INDEX(products!$A$2:$G$49,MATCH(orders!$D840,products!$A$2:$A$49,0),MATCH(orders!L$1,products!$A$1:$G$1,0))</f>
        <v>22.884999999999998</v>
      </c>
      <c r="M840" s="12">
        <f t="shared" si="39"/>
        <v>114.42499999999998</v>
      </c>
      <c r="N840" s="10" t="str">
        <f t="shared" si="40"/>
        <v>Arabica</v>
      </c>
      <c r="O840" s="10" t="str">
        <f t="shared" si="41"/>
        <v>Dark</v>
      </c>
      <c r="P840" s="10" t="str">
        <f>_xlfn.XLOOKUP(Tableau1[[#This Row],[Customer ID]],customers!A$2:A$1001,customers!I$2:I$1001)</f>
        <v>No</v>
      </c>
    </row>
    <row r="841" spans="1:16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9" t="str">
        <f>_xlfn.XLOOKUP(orders!C841,customers!$A$2:$A$1001,customers!$B$2:$B$1001)</f>
        <v>Miran Doidge</v>
      </c>
      <c r="G841" s="9" t="str">
        <f>IF(_xlfn.XLOOKUP(orders!C841,customers!$A$2:$A$1001,customers!$C$2:$C$1001,,,)=0,"",_xlfn.XLOOKUP(orders!C841,customers!$A$2:$A$1001,customers!$C$2:$C$1001,,,))</f>
        <v>mdoidgenb@etsy.com</v>
      </c>
      <c r="H841" s="9" t="str">
        <f>_xlfn.XLOOKUP(C841,customers!$A$2:$A$1001,customers!$G$2:$G$1001,"")</f>
        <v>United States</v>
      </c>
      <c r="I841" s="10" t="str">
        <f>INDEX(products!$A$2:$G$49,MATCH(orders!$D841,products!$A$2:$A$49,0),MATCH(orders!I$1,products!$A$1:$G$1,0))</f>
        <v>Exc</v>
      </c>
      <c r="J841" s="10" t="str">
        <f>INDEX(products!$A$2:$G$49,MATCH(orders!$D841,products!$A$2:$A$49,0),MATCH(orders!J$1,products!$A$1:$G$1,0))</f>
        <v>M</v>
      </c>
      <c r="K841" s="11">
        <f>INDEX(products!$A$2:$G$49,MATCH(orders!$D841,products!$A$2:$A$49,0),MATCH(orders!K$1,products!$A$1:$G$1,0))</f>
        <v>0.5</v>
      </c>
      <c r="L841" s="12">
        <f>INDEX(products!$A$2:$G$49,MATCH(orders!$D841,products!$A$2:$A$49,0),MATCH(orders!L$1,products!$A$1:$G$1,0))</f>
        <v>8.25</v>
      </c>
      <c r="M841" s="12">
        <f t="shared" si="39"/>
        <v>41.25</v>
      </c>
      <c r="N841" s="10" t="str">
        <f t="shared" si="40"/>
        <v>Excelsa</v>
      </c>
      <c r="O841" s="10" t="str">
        <f t="shared" si="41"/>
        <v>Medium</v>
      </c>
      <c r="P841" s="10" t="str">
        <f>_xlfn.XLOOKUP(Tableau1[[#This Row],[Customer ID]],customers!A$2:A$1001,customers!I$2:I$1001)</f>
        <v>No</v>
      </c>
    </row>
    <row r="842" spans="1:16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9" t="str">
        <f>_xlfn.XLOOKUP(orders!C842,customers!$A$2:$A$1001,customers!$B$2:$B$1001)</f>
        <v>Janeva Edinboro</v>
      </c>
      <c r="G842" s="9" t="str">
        <f>IF(_xlfn.XLOOKUP(orders!C842,customers!$A$2:$A$1001,customers!$C$2:$C$1001,,,)=0,"",_xlfn.XLOOKUP(orders!C842,customers!$A$2:$A$1001,customers!$C$2:$C$1001,,,))</f>
        <v>jedinboronc@reverbnation.com</v>
      </c>
      <c r="H842" s="9" t="str">
        <f>_xlfn.XLOOKUP(C842,customers!$A$2:$A$1001,customers!$G$2:$G$1001,"")</f>
        <v>United States</v>
      </c>
      <c r="I842" s="10" t="str">
        <f>INDEX(products!$A$2:$G$49,MATCH(orders!$D842,products!$A$2:$A$49,0),MATCH(orders!I$1,products!$A$1:$G$1,0))</f>
        <v>Rob</v>
      </c>
      <c r="J842" s="10" t="str">
        <f>INDEX(products!$A$2:$G$49,MATCH(orders!$D842,products!$A$2:$A$49,0),MATCH(orders!J$1,products!$A$1:$G$1,0))</f>
        <v>L</v>
      </c>
      <c r="K842" s="11">
        <f>INDEX(products!$A$2:$G$49,MATCH(orders!$D842,products!$A$2:$A$49,0),MATCH(orders!K$1,products!$A$1:$G$1,0))</f>
        <v>0.5</v>
      </c>
      <c r="L842" s="12">
        <f>INDEX(products!$A$2:$G$49,MATCH(orders!$D842,products!$A$2:$A$49,0),MATCH(orders!L$1,products!$A$1:$G$1,0))</f>
        <v>7.169999999999999</v>
      </c>
      <c r="M842" s="12">
        <f t="shared" si="39"/>
        <v>28.679999999999996</v>
      </c>
      <c r="N842" s="10" t="str">
        <f t="shared" si="40"/>
        <v>Robusta</v>
      </c>
      <c r="O842" s="10" t="str">
        <f t="shared" si="41"/>
        <v>Light</v>
      </c>
      <c r="P842" s="10" t="str">
        <f>_xlfn.XLOOKUP(Tableau1[[#This Row],[Customer ID]],customers!A$2:A$1001,customers!I$2:I$1001)</f>
        <v>Yes</v>
      </c>
    </row>
    <row r="843" spans="1:16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9" t="str">
        <f>_xlfn.XLOOKUP(orders!C843,customers!$A$2:$A$1001,customers!$B$2:$B$1001)</f>
        <v>Trumaine Tewelson</v>
      </c>
      <c r="G843" s="9" t="str">
        <f>IF(_xlfn.XLOOKUP(orders!C843,customers!$A$2:$A$1001,customers!$C$2:$C$1001,,,)=0,"",_xlfn.XLOOKUP(orders!C843,customers!$A$2:$A$1001,customers!$C$2:$C$1001,,,))</f>
        <v>ttewelsonnd@cdbaby.com</v>
      </c>
      <c r="H843" s="9" t="str">
        <f>_xlfn.XLOOKUP(C843,customers!$A$2:$A$1001,customers!$G$2:$G$1001,"")</f>
        <v>United States</v>
      </c>
      <c r="I843" s="10" t="str">
        <f>INDEX(products!$A$2:$G$49,MATCH(orders!$D843,products!$A$2:$A$49,0),MATCH(orders!I$1,products!$A$1:$G$1,0))</f>
        <v>Lib</v>
      </c>
      <c r="J843" s="10" t="str">
        <f>INDEX(products!$A$2:$G$49,MATCH(orders!$D843,products!$A$2:$A$49,0),MATCH(orders!J$1,products!$A$1:$G$1,0))</f>
        <v>M</v>
      </c>
      <c r="K843" s="11">
        <f>INDEX(products!$A$2:$G$49,MATCH(orders!$D843,products!$A$2:$A$49,0),MATCH(orders!K$1,products!$A$1:$G$1,0))</f>
        <v>0.2</v>
      </c>
      <c r="L843" s="12">
        <f>INDEX(products!$A$2:$G$49,MATCH(orders!$D843,products!$A$2:$A$49,0),MATCH(orders!L$1,products!$A$1:$G$1,0))</f>
        <v>4.3650000000000002</v>
      </c>
      <c r="M843" s="12">
        <f t="shared" si="39"/>
        <v>4.3650000000000002</v>
      </c>
      <c r="N843" s="10" t="str">
        <f t="shared" si="40"/>
        <v>Liberica</v>
      </c>
      <c r="O843" s="10" t="str">
        <f t="shared" si="41"/>
        <v>Medium</v>
      </c>
      <c r="P843" s="10" t="str">
        <f>_xlfn.XLOOKUP(Tableau1[[#This Row],[Customer ID]],customers!A$2:A$1001,customers!I$2:I$1001)</f>
        <v>No</v>
      </c>
    </row>
    <row r="844" spans="1:16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9" t="str">
        <f>_xlfn.XLOOKUP(orders!C844,customers!$A$2:$A$1001,customers!$B$2:$B$1001)</f>
        <v>Odelia Skerme</v>
      </c>
      <c r="G844" s="9" t="str">
        <f>IF(_xlfn.XLOOKUP(orders!C844,customers!$A$2:$A$1001,customers!$C$2:$C$1001,,,)=0,"",_xlfn.XLOOKUP(orders!C844,customers!$A$2:$A$1001,customers!$C$2:$C$1001,,,))</f>
        <v>oskermen3@hatena.ne.jp</v>
      </c>
      <c r="H844" s="9" t="str">
        <f>_xlfn.XLOOKUP(C844,customers!$A$2:$A$1001,customers!$G$2:$G$1001,"")</f>
        <v>United States</v>
      </c>
      <c r="I844" s="10" t="str">
        <f>INDEX(products!$A$2:$G$49,MATCH(orders!$D844,products!$A$2:$A$49,0),MATCH(orders!I$1,products!$A$1:$G$1,0))</f>
        <v>Exc</v>
      </c>
      <c r="J844" s="10" t="str">
        <f>INDEX(products!$A$2:$G$49,MATCH(orders!$D844,products!$A$2:$A$49,0),MATCH(orders!J$1,products!$A$1:$G$1,0))</f>
        <v>M</v>
      </c>
      <c r="K844" s="11">
        <f>INDEX(products!$A$2:$G$49,MATCH(orders!$D844,products!$A$2:$A$49,0),MATCH(orders!K$1,products!$A$1:$G$1,0))</f>
        <v>0.2</v>
      </c>
      <c r="L844" s="12">
        <f>INDEX(products!$A$2:$G$49,MATCH(orders!$D844,products!$A$2:$A$49,0),MATCH(orders!L$1,products!$A$1:$G$1,0))</f>
        <v>4.125</v>
      </c>
      <c r="M844" s="12">
        <f t="shared" si="39"/>
        <v>8.25</v>
      </c>
      <c r="N844" s="10" t="str">
        <f t="shared" si="40"/>
        <v>Excelsa</v>
      </c>
      <c r="O844" s="10" t="str">
        <f t="shared" si="41"/>
        <v>Medium</v>
      </c>
      <c r="P844" s="10" t="str">
        <f>_xlfn.XLOOKUP(Tableau1[[#This Row],[Customer ID]],customers!A$2:A$1001,customers!I$2:I$1001)</f>
        <v>Yes</v>
      </c>
    </row>
    <row r="845" spans="1:16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9" t="str">
        <f>_xlfn.XLOOKUP(orders!C845,customers!$A$2:$A$1001,customers!$B$2:$B$1001)</f>
        <v>De Drewitt</v>
      </c>
      <c r="G845" s="9" t="str">
        <f>IF(_xlfn.XLOOKUP(orders!C845,customers!$A$2:$A$1001,customers!$C$2:$C$1001,,,)=0,"",_xlfn.XLOOKUP(orders!C845,customers!$A$2:$A$1001,customers!$C$2:$C$1001,,,))</f>
        <v>ddrewittnf@mapquest.com</v>
      </c>
      <c r="H845" s="9" t="str">
        <f>_xlfn.XLOOKUP(C845,customers!$A$2:$A$1001,customers!$G$2:$G$1001,"")</f>
        <v>United States</v>
      </c>
      <c r="I845" s="10" t="str">
        <f>INDEX(products!$A$2:$G$49,MATCH(orders!$D845,products!$A$2:$A$49,0),MATCH(orders!I$1,products!$A$1:$G$1,0))</f>
        <v>Exc</v>
      </c>
      <c r="J845" s="10" t="str">
        <f>INDEX(products!$A$2:$G$49,MATCH(orders!$D845,products!$A$2:$A$49,0),MATCH(orders!J$1,products!$A$1:$G$1,0))</f>
        <v>M</v>
      </c>
      <c r="K845" s="11">
        <f>INDEX(products!$A$2:$G$49,MATCH(orders!$D845,products!$A$2:$A$49,0),MATCH(orders!K$1,products!$A$1:$G$1,0))</f>
        <v>0.2</v>
      </c>
      <c r="L845" s="12">
        <f>INDEX(products!$A$2:$G$49,MATCH(orders!$D845,products!$A$2:$A$49,0),MATCH(orders!L$1,products!$A$1:$G$1,0))</f>
        <v>4.125</v>
      </c>
      <c r="M845" s="12">
        <f t="shared" si="39"/>
        <v>8.25</v>
      </c>
      <c r="N845" s="10" t="str">
        <f t="shared" si="40"/>
        <v>Excelsa</v>
      </c>
      <c r="O845" s="10" t="str">
        <f t="shared" si="41"/>
        <v>Medium</v>
      </c>
      <c r="P845" s="10" t="str">
        <f>_xlfn.XLOOKUP(Tableau1[[#This Row],[Customer ID]],customers!A$2:A$1001,customers!I$2:I$1001)</f>
        <v>Yes</v>
      </c>
    </row>
    <row r="846" spans="1:16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9" t="str">
        <f>_xlfn.XLOOKUP(orders!C846,customers!$A$2:$A$1001,customers!$B$2:$B$1001)</f>
        <v>Adelheid Gladhill</v>
      </c>
      <c r="G846" s="9" t="str">
        <f>IF(_xlfn.XLOOKUP(orders!C846,customers!$A$2:$A$1001,customers!$C$2:$C$1001,,,)=0,"",_xlfn.XLOOKUP(orders!C846,customers!$A$2:$A$1001,customers!$C$2:$C$1001,,,))</f>
        <v>agladhillng@stanford.edu</v>
      </c>
      <c r="H846" s="9" t="str">
        <f>_xlfn.XLOOKUP(C846,customers!$A$2:$A$1001,customers!$G$2:$G$1001,"")</f>
        <v>United States</v>
      </c>
      <c r="I846" s="10" t="str">
        <f>INDEX(products!$A$2:$G$49,MATCH(orders!$D846,products!$A$2:$A$49,0),MATCH(orders!I$1,products!$A$1:$G$1,0))</f>
        <v>Ara</v>
      </c>
      <c r="J846" s="10" t="str">
        <f>INDEX(products!$A$2:$G$49,MATCH(orders!$D846,products!$A$2:$A$49,0),MATCH(orders!J$1,products!$A$1:$G$1,0))</f>
        <v>D</v>
      </c>
      <c r="K846" s="11">
        <f>INDEX(products!$A$2:$G$49,MATCH(orders!$D846,products!$A$2:$A$49,0),MATCH(orders!K$1,products!$A$1:$G$1,0))</f>
        <v>0.5</v>
      </c>
      <c r="L846" s="12">
        <f>INDEX(products!$A$2:$G$49,MATCH(orders!$D846,products!$A$2:$A$49,0),MATCH(orders!L$1,products!$A$1:$G$1,0))</f>
        <v>5.97</v>
      </c>
      <c r="M846" s="12">
        <f t="shared" si="39"/>
        <v>35.82</v>
      </c>
      <c r="N846" s="10" t="str">
        <f t="shared" si="40"/>
        <v>Arabica</v>
      </c>
      <c r="O846" s="10" t="str">
        <f t="shared" si="41"/>
        <v>Dark</v>
      </c>
      <c r="P846" s="10" t="str">
        <f>_xlfn.XLOOKUP(Tableau1[[#This Row],[Customer ID]],customers!A$2:A$1001,customers!I$2:I$1001)</f>
        <v>Yes</v>
      </c>
    </row>
    <row r="847" spans="1:16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9" t="str">
        <f>_xlfn.XLOOKUP(orders!C847,customers!$A$2:$A$1001,customers!$B$2:$B$1001)</f>
        <v>Murielle Lorinez</v>
      </c>
      <c r="G847" s="9" t="str">
        <f>IF(_xlfn.XLOOKUP(orders!C847,customers!$A$2:$A$1001,customers!$C$2:$C$1001,,,)=0,"",_xlfn.XLOOKUP(orders!C847,customers!$A$2:$A$1001,customers!$C$2:$C$1001,,,))</f>
        <v>mlorineznh@whitehouse.gov</v>
      </c>
      <c r="H847" s="9" t="str">
        <f>_xlfn.XLOOKUP(C847,customers!$A$2:$A$1001,customers!$G$2:$G$1001,"")</f>
        <v>United States</v>
      </c>
      <c r="I847" s="10" t="str">
        <f>INDEX(products!$A$2:$G$49,MATCH(orders!$D847,products!$A$2:$A$49,0),MATCH(orders!I$1,products!$A$1:$G$1,0))</f>
        <v>Exc</v>
      </c>
      <c r="J847" s="10" t="str">
        <f>INDEX(products!$A$2:$G$49,MATCH(orders!$D847,products!$A$2:$A$49,0),MATCH(orders!J$1,products!$A$1:$G$1,0))</f>
        <v>D</v>
      </c>
      <c r="K847" s="11">
        <f>INDEX(products!$A$2:$G$49,MATCH(orders!$D847,products!$A$2:$A$49,0),MATCH(orders!K$1,products!$A$1:$G$1,0))</f>
        <v>2.5</v>
      </c>
      <c r="L847" s="12">
        <f>INDEX(products!$A$2:$G$49,MATCH(orders!$D847,products!$A$2:$A$49,0),MATCH(orders!L$1,products!$A$1:$G$1,0))</f>
        <v>27.945</v>
      </c>
      <c r="M847" s="12">
        <f t="shared" si="39"/>
        <v>167.67000000000002</v>
      </c>
      <c r="N847" s="10" t="str">
        <f t="shared" si="40"/>
        <v>Excelsa</v>
      </c>
      <c r="O847" s="10" t="str">
        <f t="shared" si="41"/>
        <v>Dark</v>
      </c>
      <c r="P847" s="10" t="str">
        <f>_xlfn.XLOOKUP(Tableau1[[#This Row],[Customer ID]],customers!A$2:A$1001,customers!I$2:I$1001)</f>
        <v>No</v>
      </c>
    </row>
    <row r="848" spans="1:16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9" t="str">
        <f>_xlfn.XLOOKUP(orders!C848,customers!$A$2:$A$1001,customers!$B$2:$B$1001)</f>
        <v>Edin Mathe</v>
      </c>
      <c r="G848" s="9" t="str">
        <f>IF(_xlfn.XLOOKUP(orders!C848,customers!$A$2:$A$1001,customers!$C$2:$C$1001,,,)=0,"",_xlfn.XLOOKUP(orders!C848,customers!$A$2:$A$1001,customers!$C$2:$C$1001,,,))</f>
        <v/>
      </c>
      <c r="H848" s="9" t="str">
        <f>_xlfn.XLOOKUP(C848,customers!$A$2:$A$1001,customers!$G$2:$G$1001,"")</f>
        <v>United States</v>
      </c>
      <c r="I848" s="10" t="str">
        <f>INDEX(products!$A$2:$G$49,MATCH(orders!$D848,products!$A$2:$A$49,0),MATCH(orders!I$1,products!$A$1:$G$1,0))</f>
        <v>Ara</v>
      </c>
      <c r="J848" s="10" t="str">
        <f>INDEX(products!$A$2:$G$49,MATCH(orders!$D848,products!$A$2:$A$49,0),MATCH(orders!J$1,products!$A$1:$G$1,0))</f>
        <v>M</v>
      </c>
      <c r="K848" s="11">
        <f>INDEX(products!$A$2:$G$49,MATCH(orders!$D848,products!$A$2:$A$49,0),MATCH(orders!K$1,products!$A$1:$G$1,0))</f>
        <v>2.5</v>
      </c>
      <c r="L848" s="12">
        <f>INDEX(products!$A$2:$G$49,MATCH(orders!$D848,products!$A$2:$A$49,0),MATCH(orders!L$1,products!$A$1:$G$1,0))</f>
        <v>25.874999999999996</v>
      </c>
      <c r="M848" s="12">
        <f t="shared" si="39"/>
        <v>51.749999999999993</v>
      </c>
      <c r="N848" s="10" t="str">
        <f t="shared" si="40"/>
        <v>Arabica</v>
      </c>
      <c r="O848" s="10" t="str">
        <f t="shared" si="41"/>
        <v>Medium</v>
      </c>
      <c r="P848" s="10" t="str">
        <f>_xlfn.XLOOKUP(Tableau1[[#This Row],[Customer ID]],customers!A$2:A$1001,customers!I$2:I$1001)</f>
        <v>Yes</v>
      </c>
    </row>
    <row r="849" spans="1:16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9" t="str">
        <f>_xlfn.XLOOKUP(orders!C849,customers!$A$2:$A$1001,customers!$B$2:$B$1001)</f>
        <v>Mordy Van Der Vlies</v>
      </c>
      <c r="G849" s="9" t="str">
        <f>IF(_xlfn.XLOOKUP(orders!C849,customers!$A$2:$A$1001,customers!$C$2:$C$1001,,,)=0,"",_xlfn.XLOOKUP(orders!C849,customers!$A$2:$A$1001,customers!$C$2:$C$1001,,,))</f>
        <v>mvannj@wikipedia.org</v>
      </c>
      <c r="H849" s="9" t="str">
        <f>_xlfn.XLOOKUP(C849,customers!$A$2:$A$1001,customers!$G$2:$G$1001,"")</f>
        <v>United States</v>
      </c>
      <c r="I849" s="10" t="str">
        <f>INDEX(products!$A$2:$G$49,MATCH(orders!$D849,products!$A$2:$A$49,0),MATCH(orders!I$1,products!$A$1:$G$1,0))</f>
        <v>Ara</v>
      </c>
      <c r="J849" s="10" t="str">
        <f>INDEX(products!$A$2:$G$49,MATCH(orders!$D849,products!$A$2:$A$49,0),MATCH(orders!J$1,products!$A$1:$G$1,0))</f>
        <v>D</v>
      </c>
      <c r="K849" s="11">
        <f>INDEX(products!$A$2:$G$49,MATCH(orders!$D849,products!$A$2:$A$49,0),MATCH(orders!K$1,products!$A$1:$G$1,0))</f>
        <v>0.2</v>
      </c>
      <c r="L849" s="12">
        <f>INDEX(products!$A$2:$G$49,MATCH(orders!$D849,products!$A$2:$A$49,0),MATCH(orders!L$1,products!$A$1:$G$1,0))</f>
        <v>2.9849999999999999</v>
      </c>
      <c r="M849" s="12">
        <f t="shared" si="39"/>
        <v>8.9550000000000001</v>
      </c>
      <c r="N849" s="10" t="str">
        <f t="shared" si="40"/>
        <v>Arabica</v>
      </c>
      <c r="O849" s="10" t="str">
        <f t="shared" si="41"/>
        <v>Dark</v>
      </c>
      <c r="P849" s="10" t="str">
        <f>_xlfn.XLOOKUP(Tableau1[[#This Row],[Customer ID]],customers!A$2:A$1001,customers!I$2:I$1001)</f>
        <v>Yes</v>
      </c>
    </row>
    <row r="850" spans="1:16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9" t="str">
        <f>_xlfn.XLOOKUP(orders!C850,customers!$A$2:$A$1001,customers!$B$2:$B$1001)</f>
        <v>Spencer Wastell</v>
      </c>
      <c r="G850" s="9" t="str">
        <f>IF(_xlfn.XLOOKUP(orders!C850,customers!$A$2:$A$1001,customers!$C$2:$C$1001,,,)=0,"",_xlfn.XLOOKUP(orders!C850,customers!$A$2:$A$1001,customers!$C$2:$C$1001,,,))</f>
        <v/>
      </c>
      <c r="H850" s="9" t="str">
        <f>_xlfn.XLOOKUP(C850,customers!$A$2:$A$1001,customers!$G$2:$G$1001,"")</f>
        <v>United States</v>
      </c>
      <c r="I850" s="10" t="str">
        <f>INDEX(products!$A$2:$G$49,MATCH(orders!$D850,products!$A$2:$A$49,0),MATCH(orders!I$1,products!$A$1:$G$1,0))</f>
        <v>Exc</v>
      </c>
      <c r="J850" s="10" t="str">
        <f>INDEX(products!$A$2:$G$49,MATCH(orders!$D850,products!$A$2:$A$49,0),MATCH(orders!J$1,products!$A$1:$G$1,0))</f>
        <v>L</v>
      </c>
      <c r="K850" s="11">
        <f>INDEX(products!$A$2:$G$49,MATCH(orders!$D850,products!$A$2:$A$49,0),MATCH(orders!K$1,products!$A$1:$G$1,0))</f>
        <v>0.5</v>
      </c>
      <c r="L850" s="12">
        <f>INDEX(products!$A$2:$G$49,MATCH(orders!$D850,products!$A$2:$A$49,0),MATCH(orders!L$1,products!$A$1:$G$1,0))</f>
        <v>8.91</v>
      </c>
      <c r="M850" s="12">
        <f t="shared" si="39"/>
        <v>53.46</v>
      </c>
      <c r="N850" s="10" t="str">
        <f t="shared" si="40"/>
        <v>Excelsa</v>
      </c>
      <c r="O850" s="10" t="str">
        <f t="shared" si="41"/>
        <v>Light</v>
      </c>
      <c r="P850" s="10" t="str">
        <f>_xlfn.XLOOKUP(Tableau1[[#This Row],[Customer ID]],customers!A$2:A$1001,customers!I$2:I$1001)</f>
        <v>No</v>
      </c>
    </row>
    <row r="851" spans="1:16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9" t="str">
        <f>_xlfn.XLOOKUP(orders!C851,customers!$A$2:$A$1001,customers!$B$2:$B$1001)</f>
        <v>Jemimah Ethelston</v>
      </c>
      <c r="G851" s="9" t="str">
        <f>IF(_xlfn.XLOOKUP(orders!C851,customers!$A$2:$A$1001,customers!$C$2:$C$1001,,,)=0,"",_xlfn.XLOOKUP(orders!C851,customers!$A$2:$A$1001,customers!$C$2:$C$1001,,,))</f>
        <v>jethelstonnl@creativecommons.org</v>
      </c>
      <c r="H851" s="9" t="str">
        <f>_xlfn.XLOOKUP(C851,customers!$A$2:$A$1001,customers!$G$2:$G$1001,"")</f>
        <v>United States</v>
      </c>
      <c r="I851" s="10" t="str">
        <f>INDEX(products!$A$2:$G$49,MATCH(orders!$D851,products!$A$2:$A$49,0),MATCH(orders!I$1,products!$A$1:$G$1,0))</f>
        <v>Ara</v>
      </c>
      <c r="J851" s="10" t="str">
        <f>INDEX(products!$A$2:$G$49,MATCH(orders!$D851,products!$A$2:$A$49,0),MATCH(orders!J$1,products!$A$1:$G$1,0))</f>
        <v>L</v>
      </c>
      <c r="K851" s="11">
        <f>INDEX(products!$A$2:$G$49,MATCH(orders!$D851,products!$A$2:$A$49,0),MATCH(orders!K$1,products!$A$1:$G$1,0))</f>
        <v>0.2</v>
      </c>
      <c r="L851" s="12">
        <f>INDEX(products!$A$2:$G$49,MATCH(orders!$D851,products!$A$2:$A$49,0),MATCH(orders!L$1,products!$A$1:$G$1,0))</f>
        <v>3.8849999999999998</v>
      </c>
      <c r="M851" s="12">
        <f t="shared" si="39"/>
        <v>23.31</v>
      </c>
      <c r="N851" s="10" t="str">
        <f t="shared" si="40"/>
        <v>Arabica</v>
      </c>
      <c r="O851" s="10" t="str">
        <f t="shared" si="41"/>
        <v>Light</v>
      </c>
      <c r="P851" s="10" t="str">
        <f>_xlfn.XLOOKUP(Tableau1[[#This Row],[Customer ID]],customers!A$2:A$1001,customers!I$2:I$1001)</f>
        <v>Yes</v>
      </c>
    </row>
    <row r="852" spans="1:16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9" t="str">
        <f>_xlfn.XLOOKUP(orders!C852,customers!$A$2:$A$1001,customers!$B$2:$B$1001)</f>
        <v>Jemimah Ethelston</v>
      </c>
      <c r="G852" s="9" t="str">
        <f>IF(_xlfn.XLOOKUP(orders!C852,customers!$A$2:$A$1001,customers!$C$2:$C$1001,,,)=0,"",_xlfn.XLOOKUP(orders!C852,customers!$A$2:$A$1001,customers!$C$2:$C$1001,,,))</f>
        <v>jethelstonnl@creativecommons.org</v>
      </c>
      <c r="H852" s="9" t="str">
        <f>_xlfn.XLOOKUP(C852,customers!$A$2:$A$1001,customers!$G$2:$G$1001,"")</f>
        <v>United States</v>
      </c>
      <c r="I852" s="10" t="str">
        <f>INDEX(products!$A$2:$G$49,MATCH(orders!$D852,products!$A$2:$A$49,0),MATCH(orders!I$1,products!$A$1:$G$1,0))</f>
        <v>Ara</v>
      </c>
      <c r="J852" s="10" t="str">
        <f>INDEX(products!$A$2:$G$49,MATCH(orders!$D852,products!$A$2:$A$49,0),MATCH(orders!J$1,products!$A$1:$G$1,0))</f>
        <v>M</v>
      </c>
      <c r="K852" s="11">
        <f>INDEX(products!$A$2:$G$49,MATCH(orders!$D852,products!$A$2:$A$49,0),MATCH(orders!K$1,products!$A$1:$G$1,0))</f>
        <v>0.2</v>
      </c>
      <c r="L852" s="12">
        <f>INDEX(products!$A$2:$G$49,MATCH(orders!$D852,products!$A$2:$A$49,0),MATCH(orders!L$1,products!$A$1:$G$1,0))</f>
        <v>3.375</v>
      </c>
      <c r="M852" s="12">
        <f t="shared" si="39"/>
        <v>6.75</v>
      </c>
      <c r="N852" s="10" t="str">
        <f t="shared" si="40"/>
        <v>Arabica</v>
      </c>
      <c r="O852" s="10" t="str">
        <f t="shared" si="41"/>
        <v>Medium</v>
      </c>
      <c r="P852" s="10" t="str">
        <f>_xlfn.XLOOKUP(Tableau1[[#This Row],[Customer ID]],customers!A$2:A$1001,customers!I$2:I$1001)</f>
        <v>Yes</v>
      </c>
    </row>
    <row r="853" spans="1:16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9" t="str">
        <f>_xlfn.XLOOKUP(orders!C853,customers!$A$2:$A$1001,customers!$B$2:$B$1001)</f>
        <v>Perice Eberz</v>
      </c>
      <c r="G853" s="9" t="str">
        <f>IF(_xlfn.XLOOKUP(orders!C853,customers!$A$2:$A$1001,customers!$C$2:$C$1001,,,)=0,"",_xlfn.XLOOKUP(orders!C853,customers!$A$2:$A$1001,customers!$C$2:$C$1001,,,))</f>
        <v>peberznn@woothemes.com</v>
      </c>
      <c r="H853" s="9" t="str">
        <f>_xlfn.XLOOKUP(C853,customers!$A$2:$A$1001,customers!$G$2:$G$1001,"")</f>
        <v>United States</v>
      </c>
      <c r="I853" s="10" t="str">
        <f>INDEX(products!$A$2:$G$49,MATCH(orders!$D853,products!$A$2:$A$49,0),MATCH(orders!I$1,products!$A$1:$G$1,0))</f>
        <v>Lib</v>
      </c>
      <c r="J853" s="10" t="str">
        <f>INDEX(products!$A$2:$G$49,MATCH(orders!$D853,products!$A$2:$A$49,0),MATCH(orders!J$1,products!$A$1:$G$1,0))</f>
        <v>D</v>
      </c>
      <c r="K853" s="11">
        <f>INDEX(products!$A$2:$G$49,MATCH(orders!$D853,products!$A$2:$A$49,0),MATCH(orders!K$1,products!$A$1:$G$1,0))</f>
        <v>0.5</v>
      </c>
      <c r="L853" s="12">
        <f>INDEX(products!$A$2:$G$49,MATCH(orders!$D853,products!$A$2:$A$49,0),MATCH(orders!L$1,products!$A$1:$G$1,0))</f>
        <v>7.77</v>
      </c>
      <c r="M853" s="12">
        <f t="shared" si="39"/>
        <v>7.77</v>
      </c>
      <c r="N853" s="10" t="str">
        <f t="shared" si="40"/>
        <v>Liberica</v>
      </c>
      <c r="O853" s="10" t="str">
        <f t="shared" si="41"/>
        <v>Dark</v>
      </c>
      <c r="P853" s="10" t="str">
        <f>_xlfn.XLOOKUP(Tableau1[[#This Row],[Customer ID]],customers!A$2:A$1001,customers!I$2:I$1001)</f>
        <v>Yes</v>
      </c>
    </row>
    <row r="854" spans="1:16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9" t="str">
        <f>_xlfn.XLOOKUP(orders!C854,customers!$A$2:$A$1001,customers!$B$2:$B$1001)</f>
        <v>Bear Gaish</v>
      </c>
      <c r="G854" s="9" t="str">
        <f>IF(_xlfn.XLOOKUP(orders!C854,customers!$A$2:$A$1001,customers!$C$2:$C$1001,,,)=0,"",_xlfn.XLOOKUP(orders!C854,customers!$A$2:$A$1001,customers!$C$2:$C$1001,,,))</f>
        <v>bgaishno@altervista.org</v>
      </c>
      <c r="H854" s="9" t="str">
        <f>_xlfn.XLOOKUP(C854,customers!$A$2:$A$1001,customers!$G$2:$G$1001,"")</f>
        <v>United States</v>
      </c>
      <c r="I854" s="10" t="str">
        <f>INDEX(products!$A$2:$G$49,MATCH(orders!$D854,products!$A$2:$A$49,0),MATCH(orders!I$1,products!$A$1:$G$1,0))</f>
        <v>Lib</v>
      </c>
      <c r="J854" s="10" t="str">
        <f>INDEX(products!$A$2:$G$49,MATCH(orders!$D854,products!$A$2:$A$49,0),MATCH(orders!J$1,products!$A$1:$G$1,0))</f>
        <v>D</v>
      </c>
      <c r="K854" s="11">
        <f>INDEX(products!$A$2:$G$49,MATCH(orders!$D854,products!$A$2:$A$49,0),MATCH(orders!K$1,products!$A$1:$G$1,0))</f>
        <v>2.5</v>
      </c>
      <c r="L854" s="12">
        <f>INDEX(products!$A$2:$G$49,MATCH(orders!$D854,products!$A$2:$A$49,0),MATCH(orders!L$1,products!$A$1:$G$1,0))</f>
        <v>29.784999999999997</v>
      </c>
      <c r="M854" s="12">
        <f t="shared" si="39"/>
        <v>119.13999999999999</v>
      </c>
      <c r="N854" s="10" t="str">
        <f t="shared" si="40"/>
        <v>Liberica</v>
      </c>
      <c r="O854" s="10" t="str">
        <f t="shared" si="41"/>
        <v>Dark</v>
      </c>
      <c r="P854" s="10" t="str">
        <f>_xlfn.XLOOKUP(Tableau1[[#This Row],[Customer ID]],customers!A$2:A$1001,customers!I$2:I$1001)</f>
        <v>Yes</v>
      </c>
    </row>
    <row r="855" spans="1:16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9" t="str">
        <f>_xlfn.XLOOKUP(orders!C855,customers!$A$2:$A$1001,customers!$B$2:$B$1001)</f>
        <v>Lynnea Danton</v>
      </c>
      <c r="G855" s="9" t="str">
        <f>IF(_xlfn.XLOOKUP(orders!C855,customers!$A$2:$A$1001,customers!$C$2:$C$1001,,,)=0,"",_xlfn.XLOOKUP(orders!C855,customers!$A$2:$A$1001,customers!$C$2:$C$1001,,,))</f>
        <v>ldantonnp@miitbeian.gov.cn</v>
      </c>
      <c r="H855" s="9" t="str">
        <f>_xlfn.XLOOKUP(C855,customers!$A$2:$A$1001,customers!$G$2:$G$1001,"")</f>
        <v>United States</v>
      </c>
      <c r="I855" s="10" t="str">
        <f>INDEX(products!$A$2:$G$49,MATCH(orders!$D855,products!$A$2:$A$49,0),MATCH(orders!I$1,products!$A$1:$G$1,0))</f>
        <v>Ara</v>
      </c>
      <c r="J855" s="10" t="str">
        <f>INDEX(products!$A$2:$G$49,MATCH(orders!$D855,products!$A$2:$A$49,0),MATCH(orders!J$1,products!$A$1:$G$1,0))</f>
        <v>D</v>
      </c>
      <c r="K855" s="11">
        <f>INDEX(products!$A$2:$G$49,MATCH(orders!$D855,products!$A$2:$A$49,0),MATCH(orders!K$1,products!$A$1:$G$1,0))</f>
        <v>1</v>
      </c>
      <c r="L855" s="12">
        <f>INDEX(products!$A$2:$G$49,MATCH(orders!$D855,products!$A$2:$A$49,0),MATCH(orders!L$1,products!$A$1:$G$1,0))</f>
        <v>9.9499999999999993</v>
      </c>
      <c r="M855" s="12">
        <f t="shared" si="39"/>
        <v>19.899999999999999</v>
      </c>
      <c r="N855" s="10" t="str">
        <f t="shared" si="40"/>
        <v>Arabica</v>
      </c>
      <c r="O855" s="10" t="str">
        <f t="shared" si="41"/>
        <v>Dark</v>
      </c>
      <c r="P855" s="10" t="str">
        <f>_xlfn.XLOOKUP(Tableau1[[#This Row],[Customer ID]],customers!A$2:A$1001,customers!I$2:I$1001)</f>
        <v>No</v>
      </c>
    </row>
    <row r="856" spans="1:16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9" t="str">
        <f>_xlfn.XLOOKUP(orders!C856,customers!$A$2:$A$1001,customers!$B$2:$B$1001)</f>
        <v>Skipton Morrall</v>
      </c>
      <c r="G856" s="9" t="str">
        <f>IF(_xlfn.XLOOKUP(orders!C856,customers!$A$2:$A$1001,customers!$C$2:$C$1001,,,)=0,"",_xlfn.XLOOKUP(orders!C856,customers!$A$2:$A$1001,customers!$C$2:$C$1001,,,))</f>
        <v>smorrallnq@answers.com</v>
      </c>
      <c r="H856" s="9" t="str">
        <f>_xlfn.XLOOKUP(C856,customers!$A$2:$A$1001,customers!$G$2:$G$1001,"")</f>
        <v>United States</v>
      </c>
      <c r="I856" s="10" t="str">
        <f>INDEX(products!$A$2:$G$49,MATCH(orders!$D856,products!$A$2:$A$49,0),MATCH(orders!I$1,products!$A$1:$G$1,0))</f>
        <v>Rob</v>
      </c>
      <c r="J856" s="10" t="str">
        <f>INDEX(products!$A$2:$G$49,MATCH(orders!$D856,products!$A$2:$A$49,0),MATCH(orders!J$1,products!$A$1:$G$1,0))</f>
        <v>L</v>
      </c>
      <c r="K856" s="11">
        <f>INDEX(products!$A$2:$G$49,MATCH(orders!$D856,products!$A$2:$A$49,0),MATCH(orders!K$1,products!$A$1:$G$1,0))</f>
        <v>0.5</v>
      </c>
      <c r="L856" s="12">
        <f>INDEX(products!$A$2:$G$49,MATCH(orders!$D856,products!$A$2:$A$49,0),MATCH(orders!L$1,products!$A$1:$G$1,0))</f>
        <v>7.169999999999999</v>
      </c>
      <c r="M856" s="12">
        <f t="shared" si="39"/>
        <v>35.849999999999994</v>
      </c>
      <c r="N856" s="10" t="str">
        <f t="shared" si="40"/>
        <v>Robusta</v>
      </c>
      <c r="O856" s="10" t="str">
        <f t="shared" si="41"/>
        <v>Light</v>
      </c>
      <c r="P856" s="10" t="str">
        <f>_xlfn.XLOOKUP(Tableau1[[#This Row],[Customer ID]],customers!A$2:A$1001,customers!I$2:I$1001)</f>
        <v>Yes</v>
      </c>
    </row>
    <row r="857" spans="1:16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9" t="str">
        <f>_xlfn.XLOOKUP(orders!C857,customers!$A$2:$A$1001,customers!$B$2:$B$1001)</f>
        <v>Devan Crownshaw</v>
      </c>
      <c r="G857" s="9" t="str">
        <f>IF(_xlfn.XLOOKUP(orders!C857,customers!$A$2:$A$1001,customers!$C$2:$C$1001,,,)=0,"",_xlfn.XLOOKUP(orders!C857,customers!$A$2:$A$1001,customers!$C$2:$C$1001,,,))</f>
        <v>dcrownshawnr@photobucket.com</v>
      </c>
      <c r="H857" s="9" t="str">
        <f>_xlfn.XLOOKUP(C857,customers!$A$2:$A$1001,customers!$G$2:$G$1001,"")</f>
        <v>United States</v>
      </c>
      <c r="I857" s="10" t="str">
        <f>INDEX(products!$A$2:$G$49,MATCH(orders!$D857,products!$A$2:$A$49,0),MATCH(orders!I$1,products!$A$1:$G$1,0))</f>
        <v>Lib</v>
      </c>
      <c r="J857" s="10" t="str">
        <f>INDEX(products!$A$2:$G$49,MATCH(orders!$D857,products!$A$2:$A$49,0),MATCH(orders!J$1,products!$A$1:$G$1,0))</f>
        <v>D</v>
      </c>
      <c r="K857" s="11">
        <f>INDEX(products!$A$2:$G$49,MATCH(orders!$D857,products!$A$2:$A$49,0),MATCH(orders!K$1,products!$A$1:$G$1,0))</f>
        <v>2.5</v>
      </c>
      <c r="L857" s="12">
        <f>INDEX(products!$A$2:$G$49,MATCH(orders!$D857,products!$A$2:$A$49,0),MATCH(orders!L$1,products!$A$1:$G$1,0))</f>
        <v>29.784999999999997</v>
      </c>
      <c r="M857" s="12">
        <f t="shared" si="39"/>
        <v>89.35499999999999</v>
      </c>
      <c r="N857" s="10" t="str">
        <f t="shared" si="40"/>
        <v>Liberica</v>
      </c>
      <c r="O857" s="10" t="str">
        <f t="shared" si="41"/>
        <v>Dark</v>
      </c>
      <c r="P857" s="10" t="str">
        <f>_xlfn.XLOOKUP(Tableau1[[#This Row],[Customer ID]],customers!A$2:A$1001,customers!I$2:I$1001)</f>
        <v>No</v>
      </c>
    </row>
    <row r="858" spans="1:16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9" t="str">
        <f>_xlfn.XLOOKUP(orders!C858,customers!$A$2:$A$1001,customers!$B$2:$B$1001)</f>
        <v>Odelia Skerme</v>
      </c>
      <c r="G858" s="9" t="str">
        <f>IF(_xlfn.XLOOKUP(orders!C858,customers!$A$2:$A$1001,customers!$C$2:$C$1001,,,)=0,"",_xlfn.XLOOKUP(orders!C858,customers!$A$2:$A$1001,customers!$C$2:$C$1001,,,))</f>
        <v>oskermen3@hatena.ne.jp</v>
      </c>
      <c r="H858" s="9" t="str">
        <f>_xlfn.XLOOKUP(C858,customers!$A$2:$A$1001,customers!$G$2:$G$1001,"")</f>
        <v>United States</v>
      </c>
      <c r="I858" s="10" t="str">
        <f>INDEX(products!$A$2:$G$49,MATCH(orders!$D858,products!$A$2:$A$49,0),MATCH(orders!I$1,products!$A$1:$G$1,0))</f>
        <v>Lib</v>
      </c>
      <c r="J858" s="10" t="str">
        <f>INDEX(products!$A$2:$G$49,MATCH(orders!$D858,products!$A$2:$A$49,0),MATCH(orders!J$1,products!$A$1:$G$1,0))</f>
        <v>M</v>
      </c>
      <c r="K858" s="11">
        <f>INDEX(products!$A$2:$G$49,MATCH(orders!$D858,products!$A$2:$A$49,0),MATCH(orders!K$1,products!$A$1:$G$1,0))</f>
        <v>0.2</v>
      </c>
      <c r="L858" s="12">
        <f>INDEX(products!$A$2:$G$49,MATCH(orders!$D858,products!$A$2:$A$49,0),MATCH(orders!L$1,products!$A$1:$G$1,0))</f>
        <v>4.3650000000000002</v>
      </c>
      <c r="M858" s="12">
        <f t="shared" si="39"/>
        <v>8.73</v>
      </c>
      <c r="N858" s="10" t="str">
        <f t="shared" si="40"/>
        <v>Liberica</v>
      </c>
      <c r="O858" s="10" t="str">
        <f t="shared" si="41"/>
        <v>Medium</v>
      </c>
      <c r="P858" s="10" t="str">
        <f>_xlfn.XLOOKUP(Tableau1[[#This Row],[Customer ID]],customers!A$2:A$1001,customers!I$2:I$1001)</f>
        <v>Yes</v>
      </c>
    </row>
    <row r="859" spans="1:16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9" t="str">
        <f>_xlfn.XLOOKUP(orders!C859,customers!$A$2:$A$1001,customers!$B$2:$B$1001)</f>
        <v>Joceline Reddoch</v>
      </c>
      <c r="G859" s="9" t="str">
        <f>IF(_xlfn.XLOOKUP(orders!C859,customers!$A$2:$A$1001,customers!$C$2:$C$1001,,,)=0,"",_xlfn.XLOOKUP(orders!C859,customers!$A$2:$A$1001,customers!$C$2:$C$1001,,,))</f>
        <v>jreddochnt@sun.com</v>
      </c>
      <c r="H859" s="9" t="str">
        <f>_xlfn.XLOOKUP(C859,customers!$A$2:$A$1001,customers!$G$2:$G$1001,"")</f>
        <v>United States</v>
      </c>
      <c r="I859" s="10" t="str">
        <f>INDEX(products!$A$2:$G$49,MATCH(orders!$D859,products!$A$2:$A$49,0),MATCH(orders!I$1,products!$A$1:$G$1,0))</f>
        <v>Rob</v>
      </c>
      <c r="J859" s="10" t="str">
        <f>INDEX(products!$A$2:$G$49,MATCH(orders!$D859,products!$A$2:$A$49,0),MATCH(orders!J$1,products!$A$1:$G$1,0))</f>
        <v>L</v>
      </c>
      <c r="K859" s="11">
        <f>INDEX(products!$A$2:$G$49,MATCH(orders!$D859,products!$A$2:$A$49,0),MATCH(orders!K$1,products!$A$1:$G$1,0))</f>
        <v>2.5</v>
      </c>
      <c r="L859" s="12">
        <f>INDEX(products!$A$2:$G$49,MATCH(orders!$D859,products!$A$2:$A$49,0),MATCH(orders!L$1,products!$A$1:$G$1,0))</f>
        <v>27.484999999999996</v>
      </c>
      <c r="M859" s="12">
        <f t="shared" si="39"/>
        <v>137.42499999999998</v>
      </c>
      <c r="N859" s="10" t="str">
        <f t="shared" si="40"/>
        <v>Robusta</v>
      </c>
      <c r="O859" s="10" t="str">
        <f t="shared" si="41"/>
        <v>Light</v>
      </c>
      <c r="P859" s="10" t="str">
        <f>_xlfn.XLOOKUP(Tableau1[[#This Row],[Customer ID]],customers!A$2:A$1001,customers!I$2:I$1001)</f>
        <v>No</v>
      </c>
    </row>
    <row r="860" spans="1:16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9" t="str">
        <f>_xlfn.XLOOKUP(orders!C860,customers!$A$2:$A$1001,customers!$B$2:$B$1001)</f>
        <v>Shelley Titley</v>
      </c>
      <c r="G860" s="9" t="str">
        <f>IF(_xlfn.XLOOKUP(orders!C860,customers!$A$2:$A$1001,customers!$C$2:$C$1001,,,)=0,"",_xlfn.XLOOKUP(orders!C860,customers!$A$2:$A$1001,customers!$C$2:$C$1001,,,))</f>
        <v>stitleynu@whitehouse.gov</v>
      </c>
      <c r="H860" s="9" t="str">
        <f>_xlfn.XLOOKUP(C860,customers!$A$2:$A$1001,customers!$G$2:$G$1001,"")</f>
        <v>United States</v>
      </c>
      <c r="I860" s="10" t="str">
        <f>INDEX(products!$A$2:$G$49,MATCH(orders!$D860,products!$A$2:$A$49,0),MATCH(orders!I$1,products!$A$1:$G$1,0))</f>
        <v>Lib</v>
      </c>
      <c r="J860" s="10" t="str">
        <f>INDEX(products!$A$2:$G$49,MATCH(orders!$D860,products!$A$2:$A$49,0),MATCH(orders!J$1,products!$A$1:$G$1,0))</f>
        <v>M</v>
      </c>
      <c r="K860" s="11">
        <f>INDEX(products!$A$2:$G$49,MATCH(orders!$D860,products!$A$2:$A$49,0),MATCH(orders!K$1,products!$A$1:$G$1,0))</f>
        <v>0.5</v>
      </c>
      <c r="L860" s="12">
        <f>INDEX(products!$A$2:$G$49,MATCH(orders!$D860,products!$A$2:$A$49,0),MATCH(orders!L$1,products!$A$1:$G$1,0))</f>
        <v>8.73</v>
      </c>
      <c r="M860" s="12">
        <f t="shared" si="39"/>
        <v>34.92</v>
      </c>
      <c r="N860" s="10" t="str">
        <f t="shared" si="40"/>
        <v>Liberica</v>
      </c>
      <c r="O860" s="10" t="str">
        <f t="shared" si="41"/>
        <v>Medium</v>
      </c>
      <c r="P860" s="10" t="str">
        <f>_xlfn.XLOOKUP(Tableau1[[#This Row],[Customer ID]],customers!A$2:A$1001,customers!I$2:I$1001)</f>
        <v>No</v>
      </c>
    </row>
    <row r="861" spans="1:16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9" t="str">
        <f>_xlfn.XLOOKUP(orders!C861,customers!$A$2:$A$1001,customers!$B$2:$B$1001)</f>
        <v>Redd Simao</v>
      </c>
      <c r="G861" s="9" t="str">
        <f>IF(_xlfn.XLOOKUP(orders!C861,customers!$A$2:$A$1001,customers!$C$2:$C$1001,,,)=0,"",_xlfn.XLOOKUP(orders!C861,customers!$A$2:$A$1001,customers!$C$2:$C$1001,,,))</f>
        <v>rsimaonv@simplemachines.org</v>
      </c>
      <c r="H861" s="9" t="str">
        <f>_xlfn.XLOOKUP(C861,customers!$A$2:$A$1001,customers!$G$2:$G$1001,"")</f>
        <v>United States</v>
      </c>
      <c r="I861" s="10" t="str">
        <f>INDEX(products!$A$2:$G$49,MATCH(orders!$D861,products!$A$2:$A$49,0),MATCH(orders!I$1,products!$A$1:$G$1,0))</f>
        <v>Ara</v>
      </c>
      <c r="J861" s="10" t="str">
        <f>INDEX(products!$A$2:$G$49,MATCH(orders!$D861,products!$A$2:$A$49,0),MATCH(orders!J$1,products!$A$1:$G$1,0))</f>
        <v>L</v>
      </c>
      <c r="K861" s="11">
        <f>INDEX(products!$A$2:$G$49,MATCH(orders!$D861,products!$A$2:$A$49,0),MATCH(orders!K$1,products!$A$1:$G$1,0))</f>
        <v>2.5</v>
      </c>
      <c r="L861" s="12">
        <f>INDEX(products!$A$2:$G$49,MATCH(orders!$D861,products!$A$2:$A$49,0),MATCH(orders!L$1,products!$A$1:$G$1,0))</f>
        <v>29.784999999999997</v>
      </c>
      <c r="M861" s="12">
        <f t="shared" si="39"/>
        <v>178.70999999999998</v>
      </c>
      <c r="N861" s="10" t="str">
        <f t="shared" si="40"/>
        <v>Arabica</v>
      </c>
      <c r="O861" s="10" t="str">
        <f t="shared" si="41"/>
        <v>Light</v>
      </c>
      <c r="P861" s="10" t="str">
        <f>_xlfn.XLOOKUP(Tableau1[[#This Row],[Customer ID]],customers!A$2:A$1001,customers!I$2:I$1001)</f>
        <v>No</v>
      </c>
    </row>
    <row r="862" spans="1:16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9" t="str">
        <f>_xlfn.XLOOKUP(orders!C862,customers!$A$2:$A$1001,customers!$B$2:$B$1001)</f>
        <v>Cece Inker</v>
      </c>
      <c r="G862" s="9" t="str">
        <f>IF(_xlfn.XLOOKUP(orders!C862,customers!$A$2:$A$1001,customers!$C$2:$C$1001,,,)=0,"",_xlfn.XLOOKUP(orders!C862,customers!$A$2:$A$1001,customers!$C$2:$C$1001,,,))</f>
        <v/>
      </c>
      <c r="H862" s="9" t="str">
        <f>_xlfn.XLOOKUP(C862,customers!$A$2:$A$1001,customers!$G$2:$G$1001,"")</f>
        <v>United States</v>
      </c>
      <c r="I862" s="10" t="str">
        <f>INDEX(products!$A$2:$G$49,MATCH(orders!$D862,products!$A$2:$A$49,0),MATCH(orders!I$1,products!$A$1:$G$1,0))</f>
        <v>Ara</v>
      </c>
      <c r="J862" s="10" t="str">
        <f>INDEX(products!$A$2:$G$49,MATCH(orders!$D862,products!$A$2:$A$49,0),MATCH(orders!J$1,products!$A$1:$G$1,0))</f>
        <v>M</v>
      </c>
      <c r="K862" s="11">
        <f>INDEX(products!$A$2:$G$49,MATCH(orders!$D862,products!$A$2:$A$49,0),MATCH(orders!K$1,products!$A$1:$G$1,0))</f>
        <v>2.5</v>
      </c>
      <c r="L862" s="12">
        <f>INDEX(products!$A$2:$G$49,MATCH(orders!$D862,products!$A$2:$A$49,0),MATCH(orders!L$1,products!$A$1:$G$1,0))</f>
        <v>25.874999999999996</v>
      </c>
      <c r="M862" s="12">
        <f t="shared" si="39"/>
        <v>25.874999999999996</v>
      </c>
      <c r="N862" s="10" t="str">
        <f t="shared" si="40"/>
        <v>Arabica</v>
      </c>
      <c r="O862" s="10" t="str">
        <f t="shared" si="41"/>
        <v>Medium</v>
      </c>
      <c r="P862" s="10" t="str">
        <f>_xlfn.XLOOKUP(Tableau1[[#This Row],[Customer ID]],customers!A$2:A$1001,customers!I$2:I$1001)</f>
        <v>No</v>
      </c>
    </row>
    <row r="863" spans="1:16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9" t="str">
        <f>_xlfn.XLOOKUP(orders!C863,customers!$A$2:$A$1001,customers!$B$2:$B$1001)</f>
        <v>Noel Chisholm</v>
      </c>
      <c r="G863" s="9" t="str">
        <f>IF(_xlfn.XLOOKUP(orders!C863,customers!$A$2:$A$1001,customers!$C$2:$C$1001,,,)=0,"",_xlfn.XLOOKUP(orders!C863,customers!$A$2:$A$1001,customers!$C$2:$C$1001,,,))</f>
        <v>nchisholmnx@example.com</v>
      </c>
      <c r="H863" s="9" t="str">
        <f>_xlfn.XLOOKUP(C863,customers!$A$2:$A$1001,customers!$G$2:$G$1001,"")</f>
        <v>United States</v>
      </c>
      <c r="I863" s="10" t="str">
        <f>INDEX(products!$A$2:$G$49,MATCH(orders!$D863,products!$A$2:$A$49,0),MATCH(orders!I$1,products!$A$1:$G$1,0))</f>
        <v>Lib</v>
      </c>
      <c r="J863" s="10" t="str">
        <f>INDEX(products!$A$2:$G$49,MATCH(orders!$D863,products!$A$2:$A$49,0),MATCH(orders!J$1,products!$A$1:$G$1,0))</f>
        <v>D</v>
      </c>
      <c r="K863" s="11">
        <f>INDEX(products!$A$2:$G$49,MATCH(orders!$D863,products!$A$2:$A$49,0),MATCH(orders!K$1,products!$A$1:$G$1,0))</f>
        <v>1</v>
      </c>
      <c r="L863" s="12">
        <f>INDEX(products!$A$2:$G$49,MATCH(orders!$D863,products!$A$2:$A$49,0),MATCH(orders!L$1,products!$A$1:$G$1,0))</f>
        <v>12.95</v>
      </c>
      <c r="M863" s="12">
        <f t="shared" si="39"/>
        <v>77.699999999999989</v>
      </c>
      <c r="N863" s="10" t="str">
        <f t="shared" si="40"/>
        <v>Liberica</v>
      </c>
      <c r="O863" s="10" t="str">
        <f t="shared" si="41"/>
        <v>Dark</v>
      </c>
      <c r="P863" s="10" t="str">
        <f>_xlfn.XLOOKUP(Tableau1[[#This Row],[Customer ID]],customers!A$2:A$1001,customers!I$2:I$1001)</f>
        <v>Yes</v>
      </c>
    </row>
    <row r="864" spans="1:16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9" t="str">
        <f>_xlfn.XLOOKUP(orders!C864,customers!$A$2:$A$1001,customers!$B$2:$B$1001)</f>
        <v>Grazia Oats</v>
      </c>
      <c r="G864" s="9" t="str">
        <f>IF(_xlfn.XLOOKUP(orders!C864,customers!$A$2:$A$1001,customers!$C$2:$C$1001,,,)=0,"",_xlfn.XLOOKUP(orders!C864,customers!$A$2:$A$1001,customers!$C$2:$C$1001,,,))</f>
        <v>goatsny@live.com</v>
      </c>
      <c r="H864" s="9" t="str">
        <f>_xlfn.XLOOKUP(C864,customers!$A$2:$A$1001,customers!$G$2:$G$1001,"")</f>
        <v>United States</v>
      </c>
      <c r="I864" s="10" t="str">
        <f>INDEX(products!$A$2:$G$49,MATCH(orders!$D864,products!$A$2:$A$49,0),MATCH(orders!I$1,products!$A$1:$G$1,0))</f>
        <v>Rob</v>
      </c>
      <c r="J864" s="10" t="str">
        <f>INDEX(products!$A$2:$G$49,MATCH(orders!$D864,products!$A$2:$A$49,0),MATCH(orders!J$1,products!$A$1:$G$1,0))</f>
        <v>M</v>
      </c>
      <c r="K864" s="11">
        <f>INDEX(products!$A$2:$G$49,MATCH(orders!$D864,products!$A$2:$A$49,0),MATCH(orders!K$1,products!$A$1:$G$1,0))</f>
        <v>1</v>
      </c>
      <c r="L864" s="12">
        <f>INDEX(products!$A$2:$G$49,MATCH(orders!$D864,products!$A$2:$A$49,0),MATCH(orders!L$1,products!$A$1:$G$1,0))</f>
        <v>9.9499999999999993</v>
      </c>
      <c r="M864" s="12">
        <f t="shared" si="39"/>
        <v>9.9499999999999993</v>
      </c>
      <c r="N864" s="10" t="str">
        <f t="shared" si="40"/>
        <v>Robusta</v>
      </c>
      <c r="O864" s="10" t="str">
        <f t="shared" si="41"/>
        <v>Medium</v>
      </c>
      <c r="P864" s="10" t="str">
        <f>_xlfn.XLOOKUP(Tableau1[[#This Row],[Customer ID]],customers!A$2:A$1001,customers!I$2:I$1001)</f>
        <v>Yes</v>
      </c>
    </row>
    <row r="865" spans="1:16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9" t="str">
        <f>_xlfn.XLOOKUP(orders!C865,customers!$A$2:$A$1001,customers!$B$2:$B$1001)</f>
        <v>Meade Birkin</v>
      </c>
      <c r="G865" s="9" t="str">
        <f>IF(_xlfn.XLOOKUP(orders!C865,customers!$A$2:$A$1001,customers!$C$2:$C$1001,,,)=0,"",_xlfn.XLOOKUP(orders!C865,customers!$A$2:$A$1001,customers!$C$2:$C$1001,,,))</f>
        <v>mbirkinnz@java.com</v>
      </c>
      <c r="H865" s="9" t="str">
        <f>_xlfn.XLOOKUP(C865,customers!$A$2:$A$1001,customers!$G$2:$G$1001,"")</f>
        <v>United States</v>
      </c>
      <c r="I865" s="10" t="str">
        <f>INDEX(products!$A$2:$G$49,MATCH(orders!$D865,products!$A$2:$A$49,0),MATCH(orders!I$1,products!$A$1:$G$1,0))</f>
        <v>Lib</v>
      </c>
      <c r="J865" s="10" t="str">
        <f>INDEX(products!$A$2:$G$49,MATCH(orders!$D865,products!$A$2:$A$49,0),MATCH(orders!J$1,products!$A$1:$G$1,0))</f>
        <v>M</v>
      </c>
      <c r="K865" s="11">
        <f>INDEX(products!$A$2:$G$49,MATCH(orders!$D865,products!$A$2:$A$49,0),MATCH(orders!K$1,products!$A$1:$G$1,0))</f>
        <v>1</v>
      </c>
      <c r="L865" s="12">
        <f>INDEX(products!$A$2:$G$49,MATCH(orders!$D865,products!$A$2:$A$49,0),MATCH(orders!L$1,products!$A$1:$G$1,0))</f>
        <v>14.55</v>
      </c>
      <c r="M865" s="12">
        <f t="shared" si="39"/>
        <v>29.1</v>
      </c>
      <c r="N865" s="10" t="str">
        <f t="shared" si="40"/>
        <v>Liberica</v>
      </c>
      <c r="O865" s="10" t="str">
        <f t="shared" si="41"/>
        <v>Medium</v>
      </c>
      <c r="P865" s="10" t="str">
        <f>_xlfn.XLOOKUP(Tableau1[[#This Row],[Customer ID]],customers!A$2:A$1001,customers!I$2:I$1001)</f>
        <v>Yes</v>
      </c>
    </row>
    <row r="866" spans="1:16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9" t="str">
        <f>_xlfn.XLOOKUP(orders!C866,customers!$A$2:$A$1001,customers!$B$2:$B$1001)</f>
        <v>Ronda Pyson</v>
      </c>
      <c r="G866" s="9" t="str">
        <f>IF(_xlfn.XLOOKUP(orders!C866,customers!$A$2:$A$1001,customers!$C$2:$C$1001,,,)=0,"",_xlfn.XLOOKUP(orders!C866,customers!$A$2:$A$1001,customers!$C$2:$C$1001,,,))</f>
        <v>rpysono0@constantcontact.com</v>
      </c>
      <c r="H866" s="9" t="str">
        <f>_xlfn.XLOOKUP(C866,customers!$A$2:$A$1001,customers!$G$2:$G$1001,"")</f>
        <v>Ireland</v>
      </c>
      <c r="I866" s="10" t="str">
        <f>INDEX(products!$A$2:$G$49,MATCH(orders!$D866,products!$A$2:$A$49,0),MATCH(orders!I$1,products!$A$1:$G$1,0))</f>
        <v>Rob</v>
      </c>
      <c r="J866" s="10" t="str">
        <f>INDEX(products!$A$2:$G$49,MATCH(orders!$D866,products!$A$2:$A$49,0),MATCH(orders!J$1,products!$A$1:$G$1,0))</f>
        <v>L</v>
      </c>
      <c r="K866" s="11">
        <f>INDEX(products!$A$2:$G$49,MATCH(orders!$D866,products!$A$2:$A$49,0),MATCH(orders!K$1,products!$A$1:$G$1,0))</f>
        <v>0.2</v>
      </c>
      <c r="L866" s="12">
        <f>INDEX(products!$A$2:$G$49,MATCH(orders!$D866,products!$A$2:$A$49,0),MATCH(orders!L$1,products!$A$1:$G$1,0))</f>
        <v>3.5849999999999995</v>
      </c>
      <c r="M866" s="12">
        <f t="shared" si="39"/>
        <v>21.509999999999998</v>
      </c>
      <c r="N866" s="10" t="str">
        <f t="shared" si="40"/>
        <v>Robusta</v>
      </c>
      <c r="O866" s="10" t="str">
        <f t="shared" si="41"/>
        <v>Light</v>
      </c>
      <c r="P866" s="10" t="str">
        <f>_xlfn.XLOOKUP(Tableau1[[#This Row],[Customer ID]],customers!A$2:A$1001,customers!I$2:I$1001)</f>
        <v>No</v>
      </c>
    </row>
    <row r="867" spans="1:16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9" t="str">
        <f>_xlfn.XLOOKUP(orders!C867,customers!$A$2:$A$1001,customers!$B$2:$B$1001)</f>
        <v>Modesty MacConnechie</v>
      </c>
      <c r="G867" s="9" t="str">
        <f>IF(_xlfn.XLOOKUP(orders!C867,customers!$A$2:$A$1001,customers!$C$2:$C$1001,,,)=0,"",_xlfn.XLOOKUP(orders!C867,customers!$A$2:$A$1001,customers!$C$2:$C$1001,,,))</f>
        <v>mmacconnechieo9@reuters.com</v>
      </c>
      <c r="H867" s="9" t="str">
        <f>_xlfn.XLOOKUP(C867,customers!$A$2:$A$1001,customers!$G$2:$G$1001,"")</f>
        <v>United States</v>
      </c>
      <c r="I867" s="10" t="str">
        <f>INDEX(products!$A$2:$G$49,MATCH(orders!$D867,products!$A$2:$A$49,0),MATCH(orders!I$1,products!$A$1:$G$1,0))</f>
        <v>Ara</v>
      </c>
      <c r="J867" s="10" t="str">
        <f>INDEX(products!$A$2:$G$49,MATCH(orders!$D867,products!$A$2:$A$49,0),MATCH(orders!J$1,products!$A$1:$G$1,0))</f>
        <v>M</v>
      </c>
      <c r="K867" s="11">
        <f>INDEX(products!$A$2:$G$49,MATCH(orders!$D867,products!$A$2:$A$49,0),MATCH(orders!K$1,products!$A$1:$G$1,0))</f>
        <v>0.5</v>
      </c>
      <c r="L867" s="12">
        <f>INDEX(products!$A$2:$G$49,MATCH(orders!$D867,products!$A$2:$A$49,0),MATCH(orders!L$1,products!$A$1:$G$1,0))</f>
        <v>6.75</v>
      </c>
      <c r="M867" s="12">
        <f t="shared" si="39"/>
        <v>6.75</v>
      </c>
      <c r="N867" s="10" t="str">
        <f t="shared" si="40"/>
        <v>Arabica</v>
      </c>
      <c r="O867" s="10" t="str">
        <f t="shared" si="41"/>
        <v>Medium</v>
      </c>
      <c r="P867" s="10" t="str">
        <f>_xlfn.XLOOKUP(Tableau1[[#This Row],[Customer ID]],customers!A$2:A$1001,customers!I$2:I$1001)</f>
        <v>Yes</v>
      </c>
    </row>
    <row r="868" spans="1:16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9" t="str">
        <f>_xlfn.XLOOKUP(orders!C868,customers!$A$2:$A$1001,customers!$B$2:$B$1001)</f>
        <v>Rafaela Treacher</v>
      </c>
      <c r="G868" s="9" t="str">
        <f>IF(_xlfn.XLOOKUP(orders!C868,customers!$A$2:$A$1001,customers!$C$2:$C$1001,,,)=0,"",_xlfn.XLOOKUP(orders!C868,customers!$A$2:$A$1001,customers!$C$2:$C$1001,,,))</f>
        <v>rtreachero2@usa.gov</v>
      </c>
      <c r="H868" s="9" t="str">
        <f>_xlfn.XLOOKUP(C868,customers!$A$2:$A$1001,customers!$G$2:$G$1001,"")</f>
        <v>Ireland</v>
      </c>
      <c r="I868" s="10" t="str">
        <f>INDEX(products!$A$2:$G$49,MATCH(orders!$D868,products!$A$2:$A$49,0),MATCH(orders!I$1,products!$A$1:$G$1,0))</f>
        <v>Ara</v>
      </c>
      <c r="J868" s="10" t="str">
        <f>INDEX(products!$A$2:$G$49,MATCH(orders!$D868,products!$A$2:$A$49,0),MATCH(orders!J$1,products!$A$1:$G$1,0))</f>
        <v>D</v>
      </c>
      <c r="K868" s="11">
        <f>INDEX(products!$A$2:$G$49,MATCH(orders!$D868,products!$A$2:$A$49,0),MATCH(orders!K$1,products!$A$1:$G$1,0))</f>
        <v>0.5</v>
      </c>
      <c r="L868" s="12">
        <f>INDEX(products!$A$2:$G$49,MATCH(orders!$D868,products!$A$2:$A$49,0),MATCH(orders!L$1,products!$A$1:$G$1,0))</f>
        <v>5.97</v>
      </c>
      <c r="M868" s="12">
        <f t="shared" si="39"/>
        <v>17.91</v>
      </c>
      <c r="N868" s="10" t="str">
        <f t="shared" si="40"/>
        <v>Arabica</v>
      </c>
      <c r="O868" s="10" t="str">
        <f t="shared" si="41"/>
        <v>Dark</v>
      </c>
      <c r="P868" s="10" t="str">
        <f>_xlfn.XLOOKUP(Tableau1[[#This Row],[Customer ID]],customers!A$2:A$1001,customers!I$2:I$1001)</f>
        <v>No</v>
      </c>
    </row>
    <row r="869" spans="1:16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9" t="str">
        <f>_xlfn.XLOOKUP(orders!C869,customers!$A$2:$A$1001,customers!$B$2:$B$1001)</f>
        <v>Bee Fattorini</v>
      </c>
      <c r="G869" s="9" t="str">
        <f>IF(_xlfn.XLOOKUP(orders!C869,customers!$A$2:$A$1001,customers!$C$2:$C$1001,,,)=0,"",_xlfn.XLOOKUP(orders!C869,customers!$A$2:$A$1001,customers!$C$2:$C$1001,,,))</f>
        <v>bfattorinio3@quantcast.com</v>
      </c>
      <c r="H869" s="9" t="str">
        <f>_xlfn.XLOOKUP(C869,customers!$A$2:$A$1001,customers!$G$2:$G$1001,"")</f>
        <v>Ireland</v>
      </c>
      <c r="I869" s="10" t="str">
        <f>INDEX(products!$A$2:$G$49,MATCH(orders!$D869,products!$A$2:$A$49,0),MATCH(orders!I$1,products!$A$1:$G$1,0))</f>
        <v>Ara</v>
      </c>
      <c r="J869" s="10" t="str">
        <f>INDEX(products!$A$2:$G$49,MATCH(orders!$D869,products!$A$2:$A$49,0),MATCH(orders!J$1,products!$A$1:$G$1,0))</f>
        <v>L</v>
      </c>
      <c r="K869" s="11">
        <f>INDEX(products!$A$2:$G$49,MATCH(orders!$D869,products!$A$2:$A$49,0),MATCH(orders!K$1,products!$A$1:$G$1,0))</f>
        <v>2.5</v>
      </c>
      <c r="L869" s="12">
        <f>INDEX(products!$A$2:$G$49,MATCH(orders!$D869,products!$A$2:$A$49,0),MATCH(orders!L$1,products!$A$1:$G$1,0))</f>
        <v>29.784999999999997</v>
      </c>
      <c r="M869" s="12">
        <f t="shared" si="39"/>
        <v>29.784999999999997</v>
      </c>
      <c r="N869" s="10" t="str">
        <f t="shared" si="40"/>
        <v>Arabica</v>
      </c>
      <c r="O869" s="10" t="str">
        <f t="shared" si="41"/>
        <v>Light</v>
      </c>
      <c r="P869" s="10" t="str">
        <f>_xlfn.XLOOKUP(Tableau1[[#This Row],[Customer ID]],customers!A$2:A$1001,customers!I$2:I$1001)</f>
        <v>Yes</v>
      </c>
    </row>
    <row r="870" spans="1:16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9" t="str">
        <f>_xlfn.XLOOKUP(orders!C870,customers!$A$2:$A$1001,customers!$B$2:$B$1001)</f>
        <v>Margie Palleske</v>
      </c>
      <c r="G870" s="9" t="str">
        <f>IF(_xlfn.XLOOKUP(orders!C870,customers!$A$2:$A$1001,customers!$C$2:$C$1001,,,)=0,"",_xlfn.XLOOKUP(orders!C870,customers!$A$2:$A$1001,customers!$C$2:$C$1001,,,))</f>
        <v>mpalleskeo4@nyu.edu</v>
      </c>
      <c r="H870" s="9" t="str">
        <f>_xlfn.XLOOKUP(C870,customers!$A$2:$A$1001,customers!$G$2:$G$1001,"")</f>
        <v>United States</v>
      </c>
      <c r="I870" s="10" t="str">
        <f>INDEX(products!$A$2:$G$49,MATCH(orders!$D870,products!$A$2:$A$49,0),MATCH(orders!I$1,products!$A$1:$G$1,0))</f>
        <v>Exc</v>
      </c>
      <c r="J870" s="10" t="str">
        <f>INDEX(products!$A$2:$G$49,MATCH(orders!$D870,products!$A$2:$A$49,0),MATCH(orders!J$1,products!$A$1:$G$1,0))</f>
        <v>M</v>
      </c>
      <c r="K870" s="11">
        <f>INDEX(products!$A$2:$G$49,MATCH(orders!$D870,products!$A$2:$A$49,0),MATCH(orders!K$1,products!$A$1:$G$1,0))</f>
        <v>0.5</v>
      </c>
      <c r="L870" s="12">
        <f>INDEX(products!$A$2:$G$49,MATCH(orders!$D870,products!$A$2:$A$49,0),MATCH(orders!L$1,products!$A$1:$G$1,0))</f>
        <v>8.25</v>
      </c>
      <c r="M870" s="12">
        <f t="shared" si="39"/>
        <v>41.25</v>
      </c>
      <c r="N870" s="10" t="str">
        <f t="shared" si="40"/>
        <v>Excelsa</v>
      </c>
      <c r="O870" s="10" t="str">
        <f t="shared" si="41"/>
        <v>Medium</v>
      </c>
      <c r="P870" s="10" t="str">
        <f>_xlfn.XLOOKUP(Tableau1[[#This Row],[Customer ID]],customers!A$2:A$1001,customers!I$2:I$1001)</f>
        <v>Yes</v>
      </c>
    </row>
    <row r="871" spans="1:16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9" t="str">
        <f>_xlfn.XLOOKUP(orders!C871,customers!$A$2:$A$1001,customers!$B$2:$B$1001)</f>
        <v>Alexina Randals</v>
      </c>
      <c r="G871" s="9" t="str">
        <f>IF(_xlfn.XLOOKUP(orders!C871,customers!$A$2:$A$1001,customers!$C$2:$C$1001,,,)=0,"",_xlfn.XLOOKUP(orders!C871,customers!$A$2:$A$1001,customers!$C$2:$C$1001,,,))</f>
        <v/>
      </c>
      <c r="H871" s="9" t="str">
        <f>_xlfn.XLOOKUP(C871,customers!$A$2:$A$1001,customers!$G$2:$G$1001,"")</f>
        <v>United States</v>
      </c>
      <c r="I871" s="10" t="str">
        <f>INDEX(products!$A$2:$G$49,MATCH(orders!$D871,products!$A$2:$A$49,0),MATCH(orders!I$1,products!$A$1:$G$1,0))</f>
        <v>Rob</v>
      </c>
      <c r="J871" s="10" t="str">
        <f>INDEX(products!$A$2:$G$49,MATCH(orders!$D871,products!$A$2:$A$49,0),MATCH(orders!J$1,products!$A$1:$G$1,0))</f>
        <v>M</v>
      </c>
      <c r="K871" s="11">
        <f>INDEX(products!$A$2:$G$49,MATCH(orders!$D871,products!$A$2:$A$49,0),MATCH(orders!K$1,products!$A$1:$G$1,0))</f>
        <v>0.5</v>
      </c>
      <c r="L871" s="12">
        <f>INDEX(products!$A$2:$G$49,MATCH(orders!$D871,products!$A$2:$A$49,0),MATCH(orders!L$1,products!$A$1:$G$1,0))</f>
        <v>5.97</v>
      </c>
      <c r="M871" s="12">
        <f t="shared" si="39"/>
        <v>17.91</v>
      </c>
      <c r="N871" s="10" t="str">
        <f t="shared" si="40"/>
        <v>Robusta</v>
      </c>
      <c r="O871" s="10" t="str">
        <f t="shared" si="41"/>
        <v>Medium</v>
      </c>
      <c r="P871" s="10" t="str">
        <f>_xlfn.XLOOKUP(Tableau1[[#This Row],[Customer ID]],customers!A$2:A$1001,customers!I$2:I$1001)</f>
        <v>Yes</v>
      </c>
    </row>
    <row r="872" spans="1:16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9" t="str">
        <f>_xlfn.XLOOKUP(orders!C872,customers!$A$2:$A$1001,customers!$B$2:$B$1001)</f>
        <v>Filip Antcliffe</v>
      </c>
      <c r="G872" s="9" t="str">
        <f>IF(_xlfn.XLOOKUP(orders!C872,customers!$A$2:$A$1001,customers!$C$2:$C$1001,,,)=0,"",_xlfn.XLOOKUP(orders!C872,customers!$A$2:$A$1001,customers!$C$2:$C$1001,,,))</f>
        <v>fantcliffeo6@amazon.co.jp</v>
      </c>
      <c r="H872" s="9" t="str">
        <f>_xlfn.XLOOKUP(C872,customers!$A$2:$A$1001,customers!$G$2:$G$1001,"")</f>
        <v>Ireland</v>
      </c>
      <c r="I872" s="10" t="str">
        <f>INDEX(products!$A$2:$G$49,MATCH(orders!$D872,products!$A$2:$A$49,0),MATCH(orders!I$1,products!$A$1:$G$1,0))</f>
        <v>Exc</v>
      </c>
      <c r="J872" s="10" t="str">
        <f>INDEX(products!$A$2:$G$49,MATCH(orders!$D872,products!$A$2:$A$49,0),MATCH(orders!J$1,products!$A$1:$G$1,0))</f>
        <v>D</v>
      </c>
      <c r="K872" s="11">
        <f>INDEX(products!$A$2:$G$49,MATCH(orders!$D872,products!$A$2:$A$49,0),MATCH(orders!K$1,products!$A$1:$G$1,0))</f>
        <v>0.5</v>
      </c>
      <c r="L872" s="12">
        <f>INDEX(products!$A$2:$G$49,MATCH(orders!$D872,products!$A$2:$A$49,0),MATCH(orders!L$1,products!$A$1:$G$1,0))</f>
        <v>7.29</v>
      </c>
      <c r="M872" s="12">
        <f t="shared" si="39"/>
        <v>7.29</v>
      </c>
      <c r="N872" s="10" t="str">
        <f t="shared" si="40"/>
        <v>Excelsa</v>
      </c>
      <c r="O872" s="10" t="str">
        <f t="shared" si="41"/>
        <v>Dark</v>
      </c>
      <c r="P872" s="10" t="str">
        <f>_xlfn.XLOOKUP(Tableau1[[#This Row],[Customer ID]],customers!A$2:A$1001,customers!I$2:I$1001)</f>
        <v>Yes</v>
      </c>
    </row>
    <row r="873" spans="1:16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9" t="str">
        <f>_xlfn.XLOOKUP(orders!C873,customers!$A$2:$A$1001,customers!$B$2:$B$1001)</f>
        <v>Peyter Matignon</v>
      </c>
      <c r="G873" s="9" t="str">
        <f>IF(_xlfn.XLOOKUP(orders!C873,customers!$A$2:$A$1001,customers!$C$2:$C$1001,,,)=0,"",_xlfn.XLOOKUP(orders!C873,customers!$A$2:$A$1001,customers!$C$2:$C$1001,,,))</f>
        <v>pmatignono7@harvard.edu</v>
      </c>
      <c r="H873" s="9" t="str">
        <f>_xlfn.XLOOKUP(C873,customers!$A$2:$A$1001,customers!$G$2:$G$1001,"")</f>
        <v>United Kingdom</v>
      </c>
      <c r="I873" s="10" t="str">
        <f>INDEX(products!$A$2:$G$49,MATCH(orders!$D873,products!$A$2:$A$49,0),MATCH(orders!I$1,products!$A$1:$G$1,0))</f>
        <v>Exc</v>
      </c>
      <c r="J873" s="10" t="str">
        <f>INDEX(products!$A$2:$G$49,MATCH(orders!$D873,products!$A$2:$A$49,0),MATCH(orders!J$1,products!$A$1:$G$1,0))</f>
        <v>L</v>
      </c>
      <c r="K873" s="11">
        <f>INDEX(products!$A$2:$G$49,MATCH(orders!$D873,products!$A$2:$A$49,0),MATCH(orders!K$1,products!$A$1:$G$1,0))</f>
        <v>1</v>
      </c>
      <c r="L873" s="12">
        <f>INDEX(products!$A$2:$G$49,MATCH(orders!$D873,products!$A$2:$A$49,0),MATCH(orders!L$1,products!$A$1:$G$1,0))</f>
        <v>14.85</v>
      </c>
      <c r="M873" s="12">
        <f t="shared" si="39"/>
        <v>29.7</v>
      </c>
      <c r="N873" s="10" t="str">
        <f t="shared" si="40"/>
        <v>Excelsa</v>
      </c>
      <c r="O873" s="10" t="str">
        <f t="shared" si="41"/>
        <v>Light</v>
      </c>
      <c r="P873" s="10" t="str">
        <f>_xlfn.XLOOKUP(Tableau1[[#This Row],[Customer ID]],customers!A$2:A$1001,customers!I$2:I$1001)</f>
        <v>Yes</v>
      </c>
    </row>
    <row r="874" spans="1:16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9" t="str">
        <f>_xlfn.XLOOKUP(orders!C874,customers!$A$2:$A$1001,customers!$B$2:$B$1001)</f>
        <v>Claudie Weond</v>
      </c>
      <c r="G874" s="9" t="str">
        <f>IF(_xlfn.XLOOKUP(orders!C874,customers!$A$2:$A$1001,customers!$C$2:$C$1001,,,)=0,"",_xlfn.XLOOKUP(orders!C874,customers!$A$2:$A$1001,customers!$C$2:$C$1001,,,))</f>
        <v>cweondo8@theglobeandmail.com</v>
      </c>
      <c r="H874" s="9" t="str">
        <f>_xlfn.XLOOKUP(C874,customers!$A$2:$A$1001,customers!$G$2:$G$1001,"")</f>
        <v>United States</v>
      </c>
      <c r="I874" s="10" t="str">
        <f>INDEX(products!$A$2:$G$49,MATCH(orders!$D874,products!$A$2:$A$49,0),MATCH(orders!I$1,products!$A$1:$G$1,0))</f>
        <v>Ara</v>
      </c>
      <c r="J874" s="10" t="str">
        <f>INDEX(products!$A$2:$G$49,MATCH(orders!$D874,products!$A$2:$A$49,0),MATCH(orders!J$1,products!$A$1:$G$1,0))</f>
        <v>M</v>
      </c>
      <c r="K874" s="11">
        <f>INDEX(products!$A$2:$G$49,MATCH(orders!$D874,products!$A$2:$A$49,0),MATCH(orders!K$1,products!$A$1:$G$1,0))</f>
        <v>1</v>
      </c>
      <c r="L874" s="12">
        <f>INDEX(products!$A$2:$G$49,MATCH(orders!$D874,products!$A$2:$A$49,0),MATCH(orders!L$1,products!$A$1:$G$1,0))</f>
        <v>11.25</v>
      </c>
      <c r="M874" s="12">
        <f t="shared" si="39"/>
        <v>22.5</v>
      </c>
      <c r="N874" s="10" t="str">
        <f t="shared" si="40"/>
        <v>Arabica</v>
      </c>
      <c r="O874" s="10" t="str">
        <f t="shared" si="41"/>
        <v>Medium</v>
      </c>
      <c r="P874" s="10" t="str">
        <f>_xlfn.XLOOKUP(Tableau1[[#This Row],[Customer ID]],customers!A$2:A$1001,customers!I$2:I$1001)</f>
        <v>No</v>
      </c>
    </row>
    <row r="875" spans="1:16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9" t="str">
        <f>_xlfn.XLOOKUP(orders!C875,customers!$A$2:$A$1001,customers!$B$2:$B$1001)</f>
        <v>Modesty MacConnechie</v>
      </c>
      <c r="G875" s="9" t="str">
        <f>IF(_xlfn.XLOOKUP(orders!C875,customers!$A$2:$A$1001,customers!$C$2:$C$1001,,,)=0,"",_xlfn.XLOOKUP(orders!C875,customers!$A$2:$A$1001,customers!$C$2:$C$1001,,,))</f>
        <v>mmacconnechieo9@reuters.com</v>
      </c>
      <c r="H875" s="9" t="str">
        <f>_xlfn.XLOOKUP(C875,customers!$A$2:$A$1001,customers!$G$2:$G$1001,"")</f>
        <v>United States</v>
      </c>
      <c r="I875" s="10" t="str">
        <f>INDEX(products!$A$2:$G$49,MATCH(orders!$D875,products!$A$2:$A$49,0),MATCH(orders!I$1,products!$A$1:$G$1,0))</f>
        <v>Rob</v>
      </c>
      <c r="J875" s="10" t="str">
        <f>INDEX(products!$A$2:$G$49,MATCH(orders!$D875,products!$A$2:$A$49,0),MATCH(orders!J$1,products!$A$1:$G$1,0))</f>
        <v>M</v>
      </c>
      <c r="K875" s="11">
        <f>INDEX(products!$A$2:$G$49,MATCH(orders!$D875,products!$A$2:$A$49,0),MATCH(orders!K$1,products!$A$1:$G$1,0))</f>
        <v>0.2</v>
      </c>
      <c r="L875" s="12">
        <f>INDEX(products!$A$2:$G$49,MATCH(orders!$D875,products!$A$2:$A$49,0),MATCH(orders!L$1,products!$A$1:$G$1,0))</f>
        <v>2.9849999999999999</v>
      </c>
      <c r="M875" s="12">
        <f t="shared" si="39"/>
        <v>11.94</v>
      </c>
      <c r="N875" s="10" t="str">
        <f t="shared" si="40"/>
        <v>Robusta</v>
      </c>
      <c r="O875" s="10" t="str">
        <f t="shared" si="41"/>
        <v>Medium</v>
      </c>
      <c r="P875" s="10" t="str">
        <f>_xlfn.XLOOKUP(Tableau1[[#This Row],[Customer ID]],customers!A$2:A$1001,customers!I$2:I$1001)</f>
        <v>Yes</v>
      </c>
    </row>
    <row r="876" spans="1:16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9" t="str">
        <f>_xlfn.XLOOKUP(orders!C876,customers!$A$2:$A$1001,customers!$B$2:$B$1001)</f>
        <v>Jaquenette Skentelbery</v>
      </c>
      <c r="G876" s="9" t="str">
        <f>IF(_xlfn.XLOOKUP(orders!C876,customers!$A$2:$A$1001,customers!$C$2:$C$1001,,,)=0,"",_xlfn.XLOOKUP(orders!C876,customers!$A$2:$A$1001,customers!$C$2:$C$1001,,,))</f>
        <v>jskentelberyoa@paypal.com</v>
      </c>
      <c r="H876" s="9" t="str">
        <f>_xlfn.XLOOKUP(C876,customers!$A$2:$A$1001,customers!$G$2:$G$1001,"")</f>
        <v>United States</v>
      </c>
      <c r="I876" s="10" t="str">
        <f>INDEX(products!$A$2:$G$49,MATCH(orders!$D876,products!$A$2:$A$49,0),MATCH(orders!I$1,products!$A$1:$G$1,0))</f>
        <v>Ara</v>
      </c>
      <c r="J876" s="10" t="str">
        <f>INDEX(products!$A$2:$G$49,MATCH(orders!$D876,products!$A$2:$A$49,0),MATCH(orders!J$1,products!$A$1:$G$1,0))</f>
        <v>L</v>
      </c>
      <c r="K876" s="11">
        <f>INDEX(products!$A$2:$G$49,MATCH(orders!$D876,products!$A$2:$A$49,0),MATCH(orders!K$1,products!$A$1:$G$1,0))</f>
        <v>1</v>
      </c>
      <c r="L876" s="12">
        <f>INDEX(products!$A$2:$G$49,MATCH(orders!$D876,products!$A$2:$A$49,0),MATCH(orders!L$1,products!$A$1:$G$1,0))</f>
        <v>12.95</v>
      </c>
      <c r="M876" s="12">
        <f t="shared" si="39"/>
        <v>25.9</v>
      </c>
      <c r="N876" s="10" t="str">
        <f t="shared" si="40"/>
        <v>Arabica</v>
      </c>
      <c r="O876" s="10" t="str">
        <f t="shared" si="41"/>
        <v>Light</v>
      </c>
      <c r="P876" s="10" t="str">
        <f>_xlfn.XLOOKUP(Tableau1[[#This Row],[Customer ID]],customers!A$2:A$1001,customers!I$2:I$1001)</f>
        <v>No</v>
      </c>
    </row>
    <row r="877" spans="1:16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9" t="str">
        <f>_xlfn.XLOOKUP(orders!C877,customers!$A$2:$A$1001,customers!$B$2:$B$1001)</f>
        <v>Orazio Comber</v>
      </c>
      <c r="G877" s="9" t="str">
        <f>IF(_xlfn.XLOOKUP(orders!C877,customers!$A$2:$A$1001,customers!$C$2:$C$1001,,,)=0,"",_xlfn.XLOOKUP(orders!C877,customers!$A$2:$A$1001,customers!$C$2:$C$1001,,,))</f>
        <v>ocomberob@goo.gl</v>
      </c>
      <c r="H877" s="9" t="str">
        <f>_xlfn.XLOOKUP(C877,customers!$A$2:$A$1001,customers!$G$2:$G$1001,"")</f>
        <v>Ireland</v>
      </c>
      <c r="I877" s="10" t="str">
        <f>INDEX(products!$A$2:$G$49,MATCH(orders!$D877,products!$A$2:$A$49,0),MATCH(orders!I$1,products!$A$1:$G$1,0))</f>
        <v>Lib</v>
      </c>
      <c r="J877" s="10" t="str">
        <f>INDEX(products!$A$2:$G$49,MATCH(orders!$D877,products!$A$2:$A$49,0),MATCH(orders!J$1,products!$A$1:$G$1,0))</f>
        <v>M</v>
      </c>
      <c r="K877" s="11">
        <f>INDEX(products!$A$2:$G$49,MATCH(orders!$D877,products!$A$2:$A$49,0),MATCH(orders!K$1,products!$A$1:$G$1,0))</f>
        <v>0.5</v>
      </c>
      <c r="L877" s="12">
        <f>INDEX(products!$A$2:$G$49,MATCH(orders!$D877,products!$A$2:$A$49,0),MATCH(orders!L$1,products!$A$1:$G$1,0))</f>
        <v>8.73</v>
      </c>
      <c r="M877" s="12">
        <f t="shared" si="39"/>
        <v>43.650000000000006</v>
      </c>
      <c r="N877" s="10" t="str">
        <f t="shared" si="40"/>
        <v>Liberica</v>
      </c>
      <c r="O877" s="10" t="str">
        <f t="shared" si="41"/>
        <v>Medium</v>
      </c>
      <c r="P877" s="10" t="str">
        <f>_xlfn.XLOOKUP(Tableau1[[#This Row],[Customer ID]],customers!A$2:A$1001,customers!I$2:I$1001)</f>
        <v>No</v>
      </c>
    </row>
    <row r="878" spans="1:16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9" t="str">
        <f>_xlfn.XLOOKUP(orders!C878,customers!$A$2:$A$1001,customers!$B$2:$B$1001)</f>
        <v>Orazio Comber</v>
      </c>
      <c r="G878" s="9" t="str">
        <f>IF(_xlfn.XLOOKUP(orders!C878,customers!$A$2:$A$1001,customers!$C$2:$C$1001,,,)=0,"",_xlfn.XLOOKUP(orders!C878,customers!$A$2:$A$1001,customers!$C$2:$C$1001,,,))</f>
        <v>ocomberob@goo.gl</v>
      </c>
      <c r="H878" s="9" t="str">
        <f>_xlfn.XLOOKUP(C878,customers!$A$2:$A$1001,customers!$G$2:$G$1001,"")</f>
        <v>Ireland</v>
      </c>
      <c r="I878" s="10" t="str">
        <f>INDEX(products!$A$2:$G$49,MATCH(orders!$D878,products!$A$2:$A$49,0),MATCH(orders!I$1,products!$A$1:$G$1,0))</f>
        <v>Ara</v>
      </c>
      <c r="J878" s="10" t="str">
        <f>INDEX(products!$A$2:$G$49,MATCH(orders!$D878,products!$A$2:$A$49,0),MATCH(orders!J$1,products!$A$1:$G$1,0))</f>
        <v>L</v>
      </c>
      <c r="K878" s="11">
        <f>INDEX(products!$A$2:$G$49,MATCH(orders!$D878,products!$A$2:$A$49,0),MATCH(orders!K$1,products!$A$1:$G$1,0))</f>
        <v>0.5</v>
      </c>
      <c r="L878" s="12">
        <f>INDEX(products!$A$2:$G$49,MATCH(orders!$D878,products!$A$2:$A$49,0),MATCH(orders!L$1,products!$A$1:$G$1,0))</f>
        <v>7.77</v>
      </c>
      <c r="M878" s="12">
        <f t="shared" si="39"/>
        <v>46.62</v>
      </c>
      <c r="N878" s="10" t="str">
        <f t="shared" si="40"/>
        <v>Arabica</v>
      </c>
      <c r="O878" s="10" t="str">
        <f t="shared" si="41"/>
        <v>Light</v>
      </c>
      <c r="P878" s="10" t="str">
        <f>_xlfn.XLOOKUP(Tableau1[[#This Row],[Customer ID]],customers!A$2:A$1001,customers!I$2:I$1001)</f>
        <v>No</v>
      </c>
    </row>
    <row r="879" spans="1:16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9" t="str">
        <f>_xlfn.XLOOKUP(orders!C879,customers!$A$2:$A$1001,customers!$B$2:$B$1001)</f>
        <v>Zachary Tramel</v>
      </c>
      <c r="G879" s="9" t="str">
        <f>IF(_xlfn.XLOOKUP(orders!C879,customers!$A$2:$A$1001,customers!$C$2:$C$1001,,,)=0,"",_xlfn.XLOOKUP(orders!C879,customers!$A$2:$A$1001,customers!$C$2:$C$1001,,,))</f>
        <v>ztramelod@netlog.com</v>
      </c>
      <c r="H879" s="9" t="str">
        <f>_xlfn.XLOOKUP(C879,customers!$A$2:$A$1001,customers!$G$2:$G$1001,"")</f>
        <v>United States</v>
      </c>
      <c r="I879" s="10" t="str">
        <f>INDEX(products!$A$2:$G$49,MATCH(orders!$D879,products!$A$2:$A$49,0),MATCH(orders!I$1,products!$A$1:$G$1,0))</f>
        <v>Lib</v>
      </c>
      <c r="J879" s="10" t="str">
        <f>INDEX(products!$A$2:$G$49,MATCH(orders!$D879,products!$A$2:$A$49,0),MATCH(orders!J$1,products!$A$1:$G$1,0))</f>
        <v>L</v>
      </c>
      <c r="K879" s="11">
        <f>INDEX(products!$A$2:$G$49,MATCH(orders!$D879,products!$A$2:$A$49,0),MATCH(orders!K$1,products!$A$1:$G$1,0))</f>
        <v>0.5</v>
      </c>
      <c r="L879" s="12">
        <f>INDEX(products!$A$2:$G$49,MATCH(orders!$D879,products!$A$2:$A$49,0),MATCH(orders!L$1,products!$A$1:$G$1,0))</f>
        <v>9.51</v>
      </c>
      <c r="M879" s="12">
        <f t="shared" si="39"/>
        <v>28.53</v>
      </c>
      <c r="N879" s="10" t="str">
        <f t="shared" si="40"/>
        <v>Liberica</v>
      </c>
      <c r="O879" s="10" t="str">
        <f t="shared" si="41"/>
        <v>Light</v>
      </c>
      <c r="P879" s="10" t="str">
        <f>_xlfn.XLOOKUP(Tableau1[[#This Row],[Customer ID]],customers!A$2:A$1001,customers!I$2:I$1001)</f>
        <v>No</v>
      </c>
    </row>
    <row r="880" spans="1:16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9" t="str">
        <f>_xlfn.XLOOKUP(orders!C880,customers!$A$2:$A$1001,customers!$B$2:$B$1001)</f>
        <v>Izaak Primak</v>
      </c>
      <c r="G880" s="9" t="str">
        <f>IF(_xlfn.XLOOKUP(orders!C880,customers!$A$2:$A$1001,customers!$C$2:$C$1001,,,)=0,"",_xlfn.XLOOKUP(orders!C880,customers!$A$2:$A$1001,customers!$C$2:$C$1001,,,))</f>
        <v/>
      </c>
      <c r="H880" s="9" t="str">
        <f>_xlfn.XLOOKUP(C880,customers!$A$2:$A$1001,customers!$G$2:$G$1001,"")</f>
        <v>United States</v>
      </c>
      <c r="I880" s="10" t="str">
        <f>INDEX(products!$A$2:$G$49,MATCH(orders!$D880,products!$A$2:$A$49,0),MATCH(orders!I$1,products!$A$1:$G$1,0))</f>
        <v>Rob</v>
      </c>
      <c r="J880" s="10" t="str">
        <f>INDEX(products!$A$2:$G$49,MATCH(orders!$D880,products!$A$2:$A$49,0),MATCH(orders!J$1,products!$A$1:$G$1,0))</f>
        <v>L</v>
      </c>
      <c r="K880" s="11">
        <f>INDEX(products!$A$2:$G$49,MATCH(orders!$D880,products!$A$2:$A$49,0),MATCH(orders!K$1,products!$A$1:$G$1,0))</f>
        <v>2.5</v>
      </c>
      <c r="L880" s="12">
        <f>INDEX(products!$A$2:$G$49,MATCH(orders!$D880,products!$A$2:$A$49,0),MATCH(orders!L$1,products!$A$1:$G$1,0))</f>
        <v>27.484999999999996</v>
      </c>
      <c r="M880" s="12">
        <f t="shared" si="39"/>
        <v>27.484999999999996</v>
      </c>
      <c r="N880" s="10" t="str">
        <f t="shared" si="40"/>
        <v>Robusta</v>
      </c>
      <c r="O880" s="10" t="str">
        <f t="shared" si="41"/>
        <v>Light</v>
      </c>
      <c r="P880" s="10" t="str">
        <f>_xlfn.XLOOKUP(Tableau1[[#This Row],[Customer ID]],customers!A$2:A$1001,customers!I$2:I$1001)</f>
        <v>Yes</v>
      </c>
    </row>
    <row r="881" spans="1:16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9" t="str">
        <f>_xlfn.XLOOKUP(orders!C881,customers!$A$2:$A$1001,customers!$B$2:$B$1001)</f>
        <v>Brittani Thoresbie</v>
      </c>
      <c r="G881" s="9" t="str">
        <f>IF(_xlfn.XLOOKUP(orders!C881,customers!$A$2:$A$1001,customers!$C$2:$C$1001,,,)=0,"",_xlfn.XLOOKUP(orders!C881,customers!$A$2:$A$1001,customers!$C$2:$C$1001,,,))</f>
        <v/>
      </c>
      <c r="H881" s="9" t="str">
        <f>_xlfn.XLOOKUP(C881,customers!$A$2:$A$1001,customers!$G$2:$G$1001,"")</f>
        <v>United States</v>
      </c>
      <c r="I881" s="10" t="str">
        <f>INDEX(products!$A$2:$G$49,MATCH(orders!$D881,products!$A$2:$A$49,0),MATCH(orders!I$1,products!$A$1:$G$1,0))</f>
        <v>Exc</v>
      </c>
      <c r="J881" s="10" t="str">
        <f>INDEX(products!$A$2:$G$49,MATCH(orders!$D881,products!$A$2:$A$49,0),MATCH(orders!J$1,products!$A$1:$G$1,0))</f>
        <v>D</v>
      </c>
      <c r="K881" s="11">
        <f>INDEX(products!$A$2:$G$49,MATCH(orders!$D881,products!$A$2:$A$49,0),MATCH(orders!K$1,products!$A$1:$G$1,0))</f>
        <v>0.2</v>
      </c>
      <c r="L881" s="12">
        <f>INDEX(products!$A$2:$G$49,MATCH(orders!$D881,products!$A$2:$A$49,0),MATCH(orders!L$1,products!$A$1:$G$1,0))</f>
        <v>3.645</v>
      </c>
      <c r="M881" s="12">
        <f t="shared" si="39"/>
        <v>10.935</v>
      </c>
      <c r="N881" s="10" t="str">
        <f t="shared" si="40"/>
        <v>Excelsa</v>
      </c>
      <c r="O881" s="10" t="str">
        <f t="shared" si="41"/>
        <v>Dark</v>
      </c>
      <c r="P881" s="10" t="str">
        <f>_xlfn.XLOOKUP(Tableau1[[#This Row],[Customer ID]],customers!A$2:A$1001,customers!I$2:I$1001)</f>
        <v>No</v>
      </c>
    </row>
    <row r="882" spans="1:16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9" t="str">
        <f>_xlfn.XLOOKUP(orders!C882,customers!$A$2:$A$1001,customers!$B$2:$B$1001)</f>
        <v>Constanta Hatfull</v>
      </c>
      <c r="G882" s="9" t="str">
        <f>IF(_xlfn.XLOOKUP(orders!C882,customers!$A$2:$A$1001,customers!$C$2:$C$1001,,,)=0,"",_xlfn.XLOOKUP(orders!C882,customers!$A$2:$A$1001,customers!$C$2:$C$1001,,,))</f>
        <v>chatfullog@ebay.com</v>
      </c>
      <c r="H882" s="9" t="str">
        <f>_xlfn.XLOOKUP(C882,customers!$A$2:$A$1001,customers!$G$2:$G$1001,"")</f>
        <v>United States</v>
      </c>
      <c r="I882" s="10" t="str">
        <f>INDEX(products!$A$2:$G$49,MATCH(orders!$D882,products!$A$2:$A$49,0),MATCH(orders!I$1,products!$A$1:$G$1,0))</f>
        <v>Rob</v>
      </c>
      <c r="J882" s="10" t="str">
        <f>INDEX(products!$A$2:$G$49,MATCH(orders!$D882,products!$A$2:$A$49,0),MATCH(orders!J$1,products!$A$1:$G$1,0))</f>
        <v>L</v>
      </c>
      <c r="K882" s="11">
        <f>INDEX(products!$A$2:$G$49,MATCH(orders!$D882,products!$A$2:$A$49,0),MATCH(orders!K$1,products!$A$1:$G$1,0))</f>
        <v>0.2</v>
      </c>
      <c r="L882" s="12">
        <f>INDEX(products!$A$2:$G$49,MATCH(orders!$D882,products!$A$2:$A$49,0),MATCH(orders!L$1,products!$A$1:$G$1,0))</f>
        <v>3.5849999999999995</v>
      </c>
      <c r="M882" s="12">
        <f t="shared" si="39"/>
        <v>7.169999999999999</v>
      </c>
      <c r="N882" s="10" t="str">
        <f t="shared" si="40"/>
        <v>Robusta</v>
      </c>
      <c r="O882" s="10" t="str">
        <f t="shared" si="41"/>
        <v>Light</v>
      </c>
      <c r="P882" s="10" t="str">
        <f>_xlfn.XLOOKUP(Tableau1[[#This Row],[Customer ID]],customers!A$2:A$1001,customers!I$2:I$1001)</f>
        <v>No</v>
      </c>
    </row>
    <row r="883" spans="1:16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9" t="str">
        <f>_xlfn.XLOOKUP(orders!C883,customers!$A$2:$A$1001,customers!$B$2:$B$1001)</f>
        <v>Bobbe Castagneto</v>
      </c>
      <c r="G883" s="9" t="str">
        <f>IF(_xlfn.XLOOKUP(orders!C883,customers!$A$2:$A$1001,customers!$C$2:$C$1001,,,)=0,"",_xlfn.XLOOKUP(orders!C883,customers!$A$2:$A$1001,customers!$C$2:$C$1001,,,))</f>
        <v/>
      </c>
      <c r="H883" s="9" t="str">
        <f>_xlfn.XLOOKUP(C883,customers!$A$2:$A$1001,customers!$G$2:$G$1001,"")</f>
        <v>United States</v>
      </c>
      <c r="I883" s="10" t="str">
        <f>INDEX(products!$A$2:$G$49,MATCH(orders!$D883,products!$A$2:$A$49,0),MATCH(orders!I$1,products!$A$1:$G$1,0))</f>
        <v>Ara</v>
      </c>
      <c r="J883" s="10" t="str">
        <f>INDEX(products!$A$2:$G$49,MATCH(orders!$D883,products!$A$2:$A$49,0),MATCH(orders!J$1,products!$A$1:$G$1,0))</f>
        <v>L</v>
      </c>
      <c r="K883" s="11">
        <f>INDEX(products!$A$2:$G$49,MATCH(orders!$D883,products!$A$2:$A$49,0),MATCH(orders!K$1,products!$A$1:$G$1,0))</f>
        <v>0.2</v>
      </c>
      <c r="L883" s="12">
        <f>INDEX(products!$A$2:$G$49,MATCH(orders!$D883,products!$A$2:$A$49,0),MATCH(orders!L$1,products!$A$1:$G$1,0))</f>
        <v>3.8849999999999998</v>
      </c>
      <c r="M883" s="12">
        <f t="shared" si="39"/>
        <v>23.31</v>
      </c>
      <c r="N883" s="10" t="str">
        <f t="shared" si="40"/>
        <v>Arabica</v>
      </c>
      <c r="O883" s="10" t="str">
        <f t="shared" si="41"/>
        <v>Light</v>
      </c>
      <c r="P883" s="10" t="str">
        <f>_xlfn.XLOOKUP(Tableau1[[#This Row],[Customer ID]],customers!A$2:A$1001,customers!I$2:I$1001)</f>
        <v>Yes</v>
      </c>
    </row>
    <row r="884" spans="1:16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9" t="str">
        <f>_xlfn.XLOOKUP(orders!C884,customers!$A$2:$A$1001,customers!$B$2:$B$1001)</f>
        <v>Kippie Marrison</v>
      </c>
      <c r="G884" s="9" t="str">
        <f>IF(_xlfn.XLOOKUP(orders!C884,customers!$A$2:$A$1001,customers!$C$2:$C$1001,,,)=0,"",_xlfn.XLOOKUP(orders!C884,customers!$A$2:$A$1001,customers!$C$2:$C$1001,,,))</f>
        <v>kmarrisonoq@dropbox.com</v>
      </c>
      <c r="H884" s="9" t="str">
        <f>_xlfn.XLOOKUP(C884,customers!$A$2:$A$1001,customers!$G$2:$G$1001,"")</f>
        <v>United States</v>
      </c>
      <c r="I884" s="10" t="str">
        <f>INDEX(products!$A$2:$G$49,MATCH(orders!$D884,products!$A$2:$A$49,0),MATCH(orders!I$1,products!$A$1:$G$1,0))</f>
        <v>Ara</v>
      </c>
      <c r="J884" s="10" t="str">
        <f>INDEX(products!$A$2:$G$49,MATCH(orders!$D884,products!$A$2:$A$49,0),MATCH(orders!J$1,products!$A$1:$G$1,0))</f>
        <v>D</v>
      </c>
      <c r="K884" s="11">
        <f>INDEX(products!$A$2:$G$49,MATCH(orders!$D884,products!$A$2:$A$49,0),MATCH(orders!K$1,products!$A$1:$G$1,0))</f>
        <v>2.5</v>
      </c>
      <c r="L884" s="12">
        <f>INDEX(products!$A$2:$G$49,MATCH(orders!$D884,products!$A$2:$A$49,0),MATCH(orders!L$1,products!$A$1:$G$1,0))</f>
        <v>22.884999999999998</v>
      </c>
      <c r="M884" s="12">
        <f t="shared" si="39"/>
        <v>114.42499999999998</v>
      </c>
      <c r="N884" s="10" t="str">
        <f t="shared" si="40"/>
        <v>Arabica</v>
      </c>
      <c r="O884" s="10" t="str">
        <f t="shared" si="41"/>
        <v>Dark</v>
      </c>
      <c r="P884" s="10" t="str">
        <f>_xlfn.XLOOKUP(Tableau1[[#This Row],[Customer ID]],customers!A$2:A$1001,customers!I$2:I$1001)</f>
        <v>Yes</v>
      </c>
    </row>
    <row r="885" spans="1:16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9" t="str">
        <f>_xlfn.XLOOKUP(orders!C885,customers!$A$2:$A$1001,customers!$B$2:$B$1001)</f>
        <v>Lindon Agnolo</v>
      </c>
      <c r="G885" s="9" t="str">
        <f>IF(_xlfn.XLOOKUP(orders!C885,customers!$A$2:$A$1001,customers!$C$2:$C$1001,,,)=0,"",_xlfn.XLOOKUP(orders!C885,customers!$A$2:$A$1001,customers!$C$2:$C$1001,,,))</f>
        <v>lagnolooj@pinterest.com</v>
      </c>
      <c r="H885" s="9" t="str">
        <f>_xlfn.XLOOKUP(C885,customers!$A$2:$A$1001,customers!$G$2:$G$1001,"")</f>
        <v>United States</v>
      </c>
      <c r="I885" s="10" t="str">
        <f>INDEX(products!$A$2:$G$49,MATCH(orders!$D885,products!$A$2:$A$49,0),MATCH(orders!I$1,products!$A$1:$G$1,0))</f>
        <v>Ara</v>
      </c>
      <c r="J885" s="10" t="str">
        <f>INDEX(products!$A$2:$G$49,MATCH(orders!$D885,products!$A$2:$A$49,0),MATCH(orders!J$1,products!$A$1:$G$1,0))</f>
        <v>M</v>
      </c>
      <c r="K885" s="11">
        <f>INDEX(products!$A$2:$G$49,MATCH(orders!$D885,products!$A$2:$A$49,0),MATCH(orders!K$1,products!$A$1:$G$1,0))</f>
        <v>2.5</v>
      </c>
      <c r="L885" s="12">
        <f>INDEX(products!$A$2:$G$49,MATCH(orders!$D885,products!$A$2:$A$49,0),MATCH(orders!L$1,products!$A$1:$G$1,0))</f>
        <v>25.874999999999996</v>
      </c>
      <c r="M885" s="12">
        <f t="shared" si="39"/>
        <v>77.624999999999986</v>
      </c>
      <c r="N885" s="10" t="str">
        <f t="shared" si="40"/>
        <v>Arabica</v>
      </c>
      <c r="O885" s="10" t="str">
        <f t="shared" si="41"/>
        <v>Medium</v>
      </c>
      <c r="P885" s="10" t="str">
        <f>_xlfn.XLOOKUP(Tableau1[[#This Row],[Customer ID]],customers!A$2:A$1001,customers!I$2:I$1001)</f>
        <v>Yes</v>
      </c>
    </row>
    <row r="886" spans="1:16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9" t="str">
        <f>_xlfn.XLOOKUP(orders!C886,customers!$A$2:$A$1001,customers!$B$2:$B$1001)</f>
        <v>Delainey Kiddy</v>
      </c>
      <c r="G886" s="9" t="str">
        <f>IF(_xlfn.XLOOKUP(orders!C886,customers!$A$2:$A$1001,customers!$C$2:$C$1001,,,)=0,"",_xlfn.XLOOKUP(orders!C886,customers!$A$2:$A$1001,customers!$C$2:$C$1001,,,))</f>
        <v>dkiddyok@fda.gov</v>
      </c>
      <c r="H886" s="9" t="str">
        <f>_xlfn.XLOOKUP(C886,customers!$A$2:$A$1001,customers!$G$2:$G$1001,"")</f>
        <v>United States</v>
      </c>
      <c r="I886" s="10" t="str">
        <f>INDEX(products!$A$2:$G$49,MATCH(orders!$D886,products!$A$2:$A$49,0),MATCH(orders!I$1,products!$A$1:$G$1,0))</f>
        <v>Rob</v>
      </c>
      <c r="J886" s="10" t="str">
        <f>INDEX(products!$A$2:$G$49,MATCH(orders!$D886,products!$A$2:$A$49,0),MATCH(orders!J$1,products!$A$1:$G$1,0))</f>
        <v>D</v>
      </c>
      <c r="K886" s="11">
        <f>INDEX(products!$A$2:$G$49,MATCH(orders!$D886,products!$A$2:$A$49,0),MATCH(orders!K$1,products!$A$1:$G$1,0))</f>
        <v>0.5</v>
      </c>
      <c r="L886" s="12">
        <f>INDEX(products!$A$2:$G$49,MATCH(orders!$D886,products!$A$2:$A$49,0),MATCH(orders!L$1,products!$A$1:$G$1,0))</f>
        <v>5.3699999999999992</v>
      </c>
      <c r="M886" s="12">
        <f t="shared" si="39"/>
        <v>5.3699999999999992</v>
      </c>
      <c r="N886" s="10" t="str">
        <f t="shared" si="40"/>
        <v>Robusta</v>
      </c>
      <c r="O886" s="10" t="str">
        <f t="shared" si="41"/>
        <v>Dark</v>
      </c>
      <c r="P886" s="10" t="str">
        <f>_xlfn.XLOOKUP(Tableau1[[#This Row],[Customer ID]],customers!A$2:A$1001,customers!I$2:I$1001)</f>
        <v>Yes</v>
      </c>
    </row>
    <row r="887" spans="1:16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9" t="str">
        <f>_xlfn.XLOOKUP(orders!C887,customers!$A$2:$A$1001,customers!$B$2:$B$1001)</f>
        <v>Helli Petroulis</v>
      </c>
      <c r="G887" s="9" t="str">
        <f>IF(_xlfn.XLOOKUP(orders!C887,customers!$A$2:$A$1001,customers!$C$2:$C$1001,,,)=0,"",_xlfn.XLOOKUP(orders!C887,customers!$A$2:$A$1001,customers!$C$2:$C$1001,,,))</f>
        <v>hpetroulisol@state.tx.us</v>
      </c>
      <c r="H887" s="9" t="str">
        <f>_xlfn.XLOOKUP(C887,customers!$A$2:$A$1001,customers!$G$2:$G$1001,"")</f>
        <v>Ireland</v>
      </c>
      <c r="I887" s="10" t="str">
        <f>INDEX(products!$A$2:$G$49,MATCH(orders!$D887,products!$A$2:$A$49,0),MATCH(orders!I$1,products!$A$1:$G$1,0))</f>
        <v>Rob</v>
      </c>
      <c r="J887" s="10" t="str">
        <f>INDEX(products!$A$2:$G$49,MATCH(orders!$D887,products!$A$2:$A$49,0),MATCH(orders!J$1,products!$A$1:$G$1,0))</f>
        <v>D</v>
      </c>
      <c r="K887" s="11">
        <f>INDEX(products!$A$2:$G$49,MATCH(orders!$D887,products!$A$2:$A$49,0),MATCH(orders!K$1,products!$A$1:$G$1,0))</f>
        <v>2.5</v>
      </c>
      <c r="L887" s="12">
        <f>INDEX(products!$A$2:$G$49,MATCH(orders!$D887,products!$A$2:$A$49,0),MATCH(orders!L$1,products!$A$1:$G$1,0))</f>
        <v>20.584999999999997</v>
      </c>
      <c r="M887" s="12">
        <f t="shared" si="39"/>
        <v>123.50999999999999</v>
      </c>
      <c r="N887" s="10" t="str">
        <f t="shared" si="40"/>
        <v>Robusta</v>
      </c>
      <c r="O887" s="10" t="str">
        <f t="shared" si="41"/>
        <v>Dark</v>
      </c>
      <c r="P887" s="10" t="str">
        <f>_xlfn.XLOOKUP(Tableau1[[#This Row],[Customer ID]],customers!A$2:A$1001,customers!I$2:I$1001)</f>
        <v>No</v>
      </c>
    </row>
    <row r="888" spans="1:16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9" t="str">
        <f>_xlfn.XLOOKUP(orders!C888,customers!$A$2:$A$1001,customers!$B$2:$B$1001)</f>
        <v>Marty Scholl</v>
      </c>
      <c r="G888" s="9" t="str">
        <f>IF(_xlfn.XLOOKUP(orders!C888,customers!$A$2:$A$1001,customers!$C$2:$C$1001,,,)=0,"",_xlfn.XLOOKUP(orders!C888,customers!$A$2:$A$1001,customers!$C$2:$C$1001,,,))</f>
        <v>mschollom@taobao.com</v>
      </c>
      <c r="H888" s="9" t="str">
        <f>_xlfn.XLOOKUP(C888,customers!$A$2:$A$1001,customers!$G$2:$G$1001,"")</f>
        <v>United States</v>
      </c>
      <c r="I888" s="10" t="str">
        <f>INDEX(products!$A$2:$G$49,MATCH(orders!$D888,products!$A$2:$A$49,0),MATCH(orders!I$1,products!$A$1:$G$1,0))</f>
        <v>Lib</v>
      </c>
      <c r="J888" s="10" t="str">
        <f>INDEX(products!$A$2:$G$49,MATCH(orders!$D888,products!$A$2:$A$49,0),MATCH(orders!J$1,products!$A$1:$G$1,0))</f>
        <v>M</v>
      </c>
      <c r="K888" s="11">
        <f>INDEX(products!$A$2:$G$49,MATCH(orders!$D888,products!$A$2:$A$49,0),MATCH(orders!K$1,products!$A$1:$G$1,0))</f>
        <v>0.5</v>
      </c>
      <c r="L888" s="12">
        <f>INDEX(products!$A$2:$G$49,MATCH(orders!$D888,products!$A$2:$A$49,0),MATCH(orders!L$1,products!$A$1:$G$1,0))</f>
        <v>8.73</v>
      </c>
      <c r="M888" s="12">
        <f t="shared" si="39"/>
        <v>17.46</v>
      </c>
      <c r="N888" s="10" t="str">
        <f t="shared" si="40"/>
        <v>Liberica</v>
      </c>
      <c r="O888" s="10" t="str">
        <f t="shared" si="41"/>
        <v>Medium</v>
      </c>
      <c r="P888" s="10" t="str">
        <f>_xlfn.XLOOKUP(Tableau1[[#This Row],[Customer ID]],customers!A$2:A$1001,customers!I$2:I$1001)</f>
        <v>No</v>
      </c>
    </row>
    <row r="889" spans="1:16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9" t="str">
        <f>_xlfn.XLOOKUP(orders!C889,customers!$A$2:$A$1001,customers!$B$2:$B$1001)</f>
        <v>Kienan Ferson</v>
      </c>
      <c r="G889" s="9" t="str">
        <f>IF(_xlfn.XLOOKUP(orders!C889,customers!$A$2:$A$1001,customers!$C$2:$C$1001,,,)=0,"",_xlfn.XLOOKUP(orders!C889,customers!$A$2:$A$1001,customers!$C$2:$C$1001,,,))</f>
        <v>kfersonon@g.co</v>
      </c>
      <c r="H889" s="9" t="str">
        <f>_xlfn.XLOOKUP(C889,customers!$A$2:$A$1001,customers!$G$2:$G$1001,"")</f>
        <v>United States</v>
      </c>
      <c r="I889" s="10" t="str">
        <f>INDEX(products!$A$2:$G$49,MATCH(orders!$D889,products!$A$2:$A$49,0),MATCH(orders!I$1,products!$A$1:$G$1,0))</f>
        <v>Exc</v>
      </c>
      <c r="J889" s="10" t="str">
        <f>INDEX(products!$A$2:$G$49,MATCH(orders!$D889,products!$A$2:$A$49,0),MATCH(orders!J$1,products!$A$1:$G$1,0))</f>
        <v>L</v>
      </c>
      <c r="K889" s="11">
        <f>INDEX(products!$A$2:$G$49,MATCH(orders!$D889,products!$A$2:$A$49,0),MATCH(orders!K$1,products!$A$1:$G$1,0))</f>
        <v>0.2</v>
      </c>
      <c r="L889" s="12">
        <f>INDEX(products!$A$2:$G$49,MATCH(orders!$D889,products!$A$2:$A$49,0),MATCH(orders!L$1,products!$A$1:$G$1,0))</f>
        <v>4.4550000000000001</v>
      </c>
      <c r="M889" s="12">
        <f t="shared" si="39"/>
        <v>13.365</v>
      </c>
      <c r="N889" s="10" t="str">
        <f t="shared" si="40"/>
        <v>Excelsa</v>
      </c>
      <c r="O889" s="10" t="str">
        <f t="shared" si="41"/>
        <v>Light</v>
      </c>
      <c r="P889" s="10" t="str">
        <f>_xlfn.XLOOKUP(Tableau1[[#This Row],[Customer ID]],customers!A$2:A$1001,customers!I$2:I$1001)</f>
        <v>No</v>
      </c>
    </row>
    <row r="890" spans="1:16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9" t="str">
        <f>_xlfn.XLOOKUP(orders!C890,customers!$A$2:$A$1001,customers!$B$2:$B$1001)</f>
        <v>Blake Kelloway</v>
      </c>
      <c r="G890" s="9" t="str">
        <f>IF(_xlfn.XLOOKUP(orders!C890,customers!$A$2:$A$1001,customers!$C$2:$C$1001,,,)=0,"",_xlfn.XLOOKUP(orders!C890,customers!$A$2:$A$1001,customers!$C$2:$C$1001,,,))</f>
        <v>bkellowayoo@omniture.com</v>
      </c>
      <c r="H890" s="9" t="str">
        <f>_xlfn.XLOOKUP(C890,customers!$A$2:$A$1001,customers!$G$2:$G$1001,"")</f>
        <v>United States</v>
      </c>
      <c r="I890" s="10" t="str">
        <f>INDEX(products!$A$2:$G$49,MATCH(orders!$D890,products!$A$2:$A$49,0),MATCH(orders!I$1,products!$A$1:$G$1,0))</f>
        <v>Ara</v>
      </c>
      <c r="J890" s="10" t="str">
        <f>INDEX(products!$A$2:$G$49,MATCH(orders!$D890,products!$A$2:$A$49,0),MATCH(orders!J$1,products!$A$1:$G$1,0))</f>
        <v>L</v>
      </c>
      <c r="K890" s="11">
        <f>INDEX(products!$A$2:$G$49,MATCH(orders!$D890,products!$A$2:$A$49,0),MATCH(orders!K$1,products!$A$1:$G$1,0))</f>
        <v>0.2</v>
      </c>
      <c r="L890" s="12">
        <f>INDEX(products!$A$2:$G$49,MATCH(orders!$D890,products!$A$2:$A$49,0),MATCH(orders!L$1,products!$A$1:$G$1,0))</f>
        <v>3.8849999999999998</v>
      </c>
      <c r="M890" s="12">
        <f t="shared" si="39"/>
        <v>7.77</v>
      </c>
      <c r="N890" s="10" t="str">
        <f t="shared" si="40"/>
        <v>Arabica</v>
      </c>
      <c r="O890" s="10" t="str">
        <f t="shared" si="41"/>
        <v>Light</v>
      </c>
      <c r="P890" s="10" t="str">
        <f>_xlfn.XLOOKUP(Tableau1[[#This Row],[Customer ID]],customers!A$2:A$1001,customers!I$2:I$1001)</f>
        <v>Yes</v>
      </c>
    </row>
    <row r="891" spans="1:16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9" t="str">
        <f>_xlfn.XLOOKUP(orders!C891,customers!$A$2:$A$1001,customers!$B$2:$B$1001)</f>
        <v>Scarlett Oliffe</v>
      </c>
      <c r="G891" s="9" t="str">
        <f>IF(_xlfn.XLOOKUP(orders!C891,customers!$A$2:$A$1001,customers!$C$2:$C$1001,,,)=0,"",_xlfn.XLOOKUP(orders!C891,customers!$A$2:$A$1001,customers!$C$2:$C$1001,,,))</f>
        <v>soliffeop@yellowbook.com</v>
      </c>
      <c r="H891" s="9" t="str">
        <f>_xlfn.XLOOKUP(C891,customers!$A$2:$A$1001,customers!$G$2:$G$1001,"")</f>
        <v>United States</v>
      </c>
      <c r="I891" s="10" t="str">
        <f>INDEX(products!$A$2:$G$49,MATCH(orders!$D891,products!$A$2:$A$49,0),MATCH(orders!I$1,products!$A$1:$G$1,0))</f>
        <v>Rob</v>
      </c>
      <c r="J891" s="10" t="str">
        <f>INDEX(products!$A$2:$G$49,MATCH(orders!$D891,products!$A$2:$A$49,0),MATCH(orders!J$1,products!$A$1:$G$1,0))</f>
        <v>D</v>
      </c>
      <c r="K891" s="11">
        <f>INDEX(products!$A$2:$G$49,MATCH(orders!$D891,products!$A$2:$A$49,0),MATCH(orders!K$1,products!$A$1:$G$1,0))</f>
        <v>0.2</v>
      </c>
      <c r="L891" s="12">
        <f>INDEX(products!$A$2:$G$49,MATCH(orders!$D891,products!$A$2:$A$49,0),MATCH(orders!L$1,products!$A$1:$G$1,0))</f>
        <v>2.6849999999999996</v>
      </c>
      <c r="M891" s="12">
        <f t="shared" si="39"/>
        <v>2.6849999999999996</v>
      </c>
      <c r="N891" s="10" t="str">
        <f t="shared" si="40"/>
        <v>Robusta</v>
      </c>
      <c r="O891" s="10" t="str">
        <f t="shared" si="41"/>
        <v>Dark</v>
      </c>
      <c r="P891" s="10" t="str">
        <f>_xlfn.XLOOKUP(Tableau1[[#This Row],[Customer ID]],customers!A$2:A$1001,customers!I$2:I$1001)</f>
        <v>Yes</v>
      </c>
    </row>
    <row r="892" spans="1:16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9" t="str">
        <f>_xlfn.XLOOKUP(orders!C892,customers!$A$2:$A$1001,customers!$B$2:$B$1001)</f>
        <v>Kippie Marrison</v>
      </c>
      <c r="G892" s="9" t="str">
        <f>IF(_xlfn.XLOOKUP(orders!C892,customers!$A$2:$A$1001,customers!$C$2:$C$1001,,,)=0,"",_xlfn.XLOOKUP(orders!C892,customers!$A$2:$A$1001,customers!$C$2:$C$1001,,,))</f>
        <v>kmarrisonoq@dropbox.com</v>
      </c>
      <c r="H892" s="9" t="str">
        <f>_xlfn.XLOOKUP(C892,customers!$A$2:$A$1001,customers!$G$2:$G$1001,"")</f>
        <v>United States</v>
      </c>
      <c r="I892" s="10" t="str">
        <f>INDEX(products!$A$2:$G$49,MATCH(orders!$D892,products!$A$2:$A$49,0),MATCH(orders!I$1,products!$A$1:$G$1,0))</f>
        <v>Rob</v>
      </c>
      <c r="J892" s="10" t="str">
        <f>INDEX(products!$A$2:$G$49,MATCH(orders!$D892,products!$A$2:$A$49,0),MATCH(orders!J$1,products!$A$1:$G$1,0))</f>
        <v>D</v>
      </c>
      <c r="K892" s="11">
        <f>INDEX(products!$A$2:$G$49,MATCH(orders!$D892,products!$A$2:$A$49,0),MATCH(orders!K$1,products!$A$1:$G$1,0))</f>
        <v>2.5</v>
      </c>
      <c r="L892" s="12">
        <f>INDEX(products!$A$2:$G$49,MATCH(orders!$D892,products!$A$2:$A$49,0),MATCH(orders!L$1,products!$A$1:$G$1,0))</f>
        <v>20.584999999999997</v>
      </c>
      <c r="M892" s="12">
        <f t="shared" si="39"/>
        <v>20.584999999999997</v>
      </c>
      <c r="N892" s="10" t="str">
        <f t="shared" si="40"/>
        <v>Robusta</v>
      </c>
      <c r="O892" s="10" t="str">
        <f t="shared" si="41"/>
        <v>Dark</v>
      </c>
      <c r="P892" s="10" t="str">
        <f>_xlfn.XLOOKUP(Tableau1[[#This Row],[Customer ID]],customers!A$2:A$1001,customers!I$2:I$1001)</f>
        <v>Yes</v>
      </c>
    </row>
    <row r="893" spans="1:16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9" t="str">
        <f>_xlfn.XLOOKUP(orders!C893,customers!$A$2:$A$1001,customers!$B$2:$B$1001)</f>
        <v>Celestia Dolohunty</v>
      </c>
      <c r="G893" s="9" t="str">
        <f>IF(_xlfn.XLOOKUP(orders!C893,customers!$A$2:$A$1001,customers!$C$2:$C$1001,,,)=0,"",_xlfn.XLOOKUP(orders!C893,customers!$A$2:$A$1001,customers!$C$2:$C$1001,,,))</f>
        <v>cdolohuntyor@dailymail.co.uk</v>
      </c>
      <c r="H893" s="9" t="str">
        <f>_xlfn.XLOOKUP(C893,customers!$A$2:$A$1001,customers!$G$2:$G$1001,"")</f>
        <v>United States</v>
      </c>
      <c r="I893" s="10" t="str">
        <f>INDEX(products!$A$2:$G$49,MATCH(orders!$D893,products!$A$2:$A$49,0),MATCH(orders!I$1,products!$A$1:$G$1,0))</f>
        <v>Ara</v>
      </c>
      <c r="J893" s="10" t="str">
        <f>INDEX(products!$A$2:$G$49,MATCH(orders!$D893,products!$A$2:$A$49,0),MATCH(orders!J$1,products!$A$1:$G$1,0))</f>
        <v>D</v>
      </c>
      <c r="K893" s="11">
        <f>INDEX(products!$A$2:$G$49,MATCH(orders!$D893,products!$A$2:$A$49,0),MATCH(orders!K$1,products!$A$1:$G$1,0))</f>
        <v>2.5</v>
      </c>
      <c r="L893" s="12">
        <f>INDEX(products!$A$2:$G$49,MATCH(orders!$D893,products!$A$2:$A$49,0),MATCH(orders!L$1,products!$A$1:$G$1,0))</f>
        <v>22.884999999999998</v>
      </c>
      <c r="M893" s="12">
        <f t="shared" si="39"/>
        <v>114.42499999999998</v>
      </c>
      <c r="N893" s="10" t="str">
        <f t="shared" si="40"/>
        <v>Arabica</v>
      </c>
      <c r="O893" s="10" t="str">
        <f t="shared" si="41"/>
        <v>Dark</v>
      </c>
      <c r="P893" s="10" t="str">
        <f>_xlfn.XLOOKUP(Tableau1[[#This Row],[Customer ID]],customers!A$2:A$1001,customers!I$2:I$1001)</f>
        <v>Yes</v>
      </c>
    </row>
    <row r="894" spans="1:16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9" t="str">
        <f>_xlfn.XLOOKUP(orders!C894,customers!$A$2:$A$1001,customers!$B$2:$B$1001)</f>
        <v>Patsy Vasilenko</v>
      </c>
      <c r="G894" s="9" t="str">
        <f>IF(_xlfn.XLOOKUP(orders!C894,customers!$A$2:$A$1001,customers!$C$2:$C$1001,,,)=0,"",_xlfn.XLOOKUP(orders!C894,customers!$A$2:$A$1001,customers!$C$2:$C$1001,,,))</f>
        <v>pvasilenkoos@addtoany.com</v>
      </c>
      <c r="H894" s="9" t="str">
        <f>_xlfn.XLOOKUP(C894,customers!$A$2:$A$1001,customers!$G$2:$G$1001,"")</f>
        <v>United Kingdom</v>
      </c>
      <c r="I894" s="10" t="str">
        <f>INDEX(products!$A$2:$G$49,MATCH(orders!$D894,products!$A$2:$A$49,0),MATCH(orders!I$1,products!$A$1:$G$1,0))</f>
        <v>Exc</v>
      </c>
      <c r="J894" s="10" t="str">
        <f>INDEX(products!$A$2:$G$49,MATCH(orders!$D894,products!$A$2:$A$49,0),MATCH(orders!J$1,products!$A$1:$G$1,0))</f>
        <v>M</v>
      </c>
      <c r="K894" s="11">
        <f>INDEX(products!$A$2:$G$49,MATCH(orders!$D894,products!$A$2:$A$49,0),MATCH(orders!K$1,products!$A$1:$G$1,0))</f>
        <v>0.2</v>
      </c>
      <c r="L894" s="12">
        <f>INDEX(products!$A$2:$G$49,MATCH(orders!$D894,products!$A$2:$A$49,0),MATCH(orders!L$1,products!$A$1:$G$1,0))</f>
        <v>4.125</v>
      </c>
      <c r="M894" s="12">
        <f t="shared" si="39"/>
        <v>20.625</v>
      </c>
      <c r="N894" s="10" t="str">
        <f t="shared" si="40"/>
        <v>Excelsa</v>
      </c>
      <c r="O894" s="10" t="str">
        <f t="shared" si="41"/>
        <v>Medium</v>
      </c>
      <c r="P894" s="10" t="str">
        <f>_xlfn.XLOOKUP(Tableau1[[#This Row],[Customer ID]],customers!A$2:A$1001,customers!I$2:I$1001)</f>
        <v>No</v>
      </c>
    </row>
    <row r="895" spans="1:16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9" t="str">
        <f>_xlfn.XLOOKUP(orders!C895,customers!$A$2:$A$1001,customers!$B$2:$B$1001)</f>
        <v>Raphaela Schankelborg</v>
      </c>
      <c r="G895" s="9" t="str">
        <f>IF(_xlfn.XLOOKUP(orders!C895,customers!$A$2:$A$1001,customers!$C$2:$C$1001,,,)=0,"",_xlfn.XLOOKUP(orders!C895,customers!$A$2:$A$1001,customers!$C$2:$C$1001,,,))</f>
        <v>rschankelborgot@ameblo.jp</v>
      </c>
      <c r="H895" s="9" t="str">
        <f>_xlfn.XLOOKUP(C895,customers!$A$2:$A$1001,customers!$G$2:$G$1001,"")</f>
        <v>United States</v>
      </c>
      <c r="I895" s="10" t="str">
        <f>INDEX(products!$A$2:$G$49,MATCH(orders!$D895,products!$A$2:$A$49,0),MATCH(orders!I$1,products!$A$1:$G$1,0))</f>
        <v>Lib</v>
      </c>
      <c r="J895" s="10" t="str">
        <f>INDEX(products!$A$2:$G$49,MATCH(orders!$D895,products!$A$2:$A$49,0),MATCH(orders!J$1,products!$A$1:$G$1,0))</f>
        <v>L</v>
      </c>
      <c r="K895" s="11">
        <f>INDEX(products!$A$2:$G$49,MATCH(orders!$D895,products!$A$2:$A$49,0),MATCH(orders!K$1,products!$A$1:$G$1,0))</f>
        <v>0.5</v>
      </c>
      <c r="L895" s="12">
        <f>INDEX(products!$A$2:$G$49,MATCH(orders!$D895,products!$A$2:$A$49,0),MATCH(orders!L$1,products!$A$1:$G$1,0))</f>
        <v>9.51</v>
      </c>
      <c r="M895" s="12">
        <f t="shared" si="39"/>
        <v>57.06</v>
      </c>
      <c r="N895" s="10" t="str">
        <f t="shared" si="40"/>
        <v>Liberica</v>
      </c>
      <c r="O895" s="10" t="str">
        <f t="shared" si="41"/>
        <v>Light</v>
      </c>
      <c r="P895" s="10" t="str">
        <f>_xlfn.XLOOKUP(Tableau1[[#This Row],[Customer ID]],customers!A$2:A$1001,customers!I$2:I$1001)</f>
        <v>Yes</v>
      </c>
    </row>
    <row r="896" spans="1:16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9" t="str">
        <f>_xlfn.XLOOKUP(orders!C896,customers!$A$2:$A$1001,customers!$B$2:$B$1001)</f>
        <v>Sharity Wickens</v>
      </c>
      <c r="G896" s="9" t="str">
        <f>IF(_xlfn.XLOOKUP(orders!C896,customers!$A$2:$A$1001,customers!$C$2:$C$1001,,,)=0,"",_xlfn.XLOOKUP(orders!C896,customers!$A$2:$A$1001,customers!$C$2:$C$1001,,,))</f>
        <v/>
      </c>
      <c r="H896" s="9" t="str">
        <f>_xlfn.XLOOKUP(C896,customers!$A$2:$A$1001,customers!$G$2:$G$1001,"")</f>
        <v>Ireland</v>
      </c>
      <c r="I896" s="10" t="str">
        <f>INDEX(products!$A$2:$G$49,MATCH(orders!$D896,products!$A$2:$A$49,0),MATCH(orders!I$1,products!$A$1:$G$1,0))</f>
        <v>Rob</v>
      </c>
      <c r="J896" s="10" t="str">
        <f>INDEX(products!$A$2:$G$49,MATCH(orders!$D896,products!$A$2:$A$49,0),MATCH(orders!J$1,products!$A$1:$G$1,0))</f>
        <v>D</v>
      </c>
      <c r="K896" s="11">
        <f>INDEX(products!$A$2:$G$49,MATCH(orders!$D896,products!$A$2:$A$49,0),MATCH(orders!K$1,products!$A$1:$G$1,0))</f>
        <v>2.5</v>
      </c>
      <c r="L896" s="12">
        <f>INDEX(products!$A$2:$G$49,MATCH(orders!$D896,products!$A$2:$A$49,0),MATCH(orders!L$1,products!$A$1:$G$1,0))</f>
        <v>20.584999999999997</v>
      </c>
      <c r="M896" s="12">
        <f t="shared" si="39"/>
        <v>82.339999999999989</v>
      </c>
      <c r="N896" s="10" t="str">
        <f t="shared" si="40"/>
        <v>Robusta</v>
      </c>
      <c r="O896" s="10" t="str">
        <f t="shared" si="41"/>
        <v>Dark</v>
      </c>
      <c r="P896" s="10" t="str">
        <f>_xlfn.XLOOKUP(Tableau1[[#This Row],[Customer ID]],customers!A$2:A$1001,customers!I$2:I$1001)</f>
        <v>Yes</v>
      </c>
    </row>
    <row r="897" spans="1:16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9" t="str">
        <f>_xlfn.XLOOKUP(orders!C897,customers!$A$2:$A$1001,customers!$B$2:$B$1001)</f>
        <v>Derick Snow</v>
      </c>
      <c r="G897" s="9" t="str">
        <f>IF(_xlfn.XLOOKUP(orders!C897,customers!$A$2:$A$1001,customers!$C$2:$C$1001,,,)=0,"",_xlfn.XLOOKUP(orders!C897,customers!$A$2:$A$1001,customers!$C$2:$C$1001,,,))</f>
        <v/>
      </c>
      <c r="H897" s="9" t="str">
        <f>_xlfn.XLOOKUP(C897,customers!$A$2:$A$1001,customers!$G$2:$G$1001,"")</f>
        <v>United States</v>
      </c>
      <c r="I897" s="10" t="str">
        <f>INDEX(products!$A$2:$G$49,MATCH(orders!$D897,products!$A$2:$A$49,0),MATCH(orders!I$1,products!$A$1:$G$1,0))</f>
        <v>Exc</v>
      </c>
      <c r="J897" s="10" t="str">
        <f>INDEX(products!$A$2:$G$49,MATCH(orders!$D897,products!$A$2:$A$49,0),MATCH(orders!J$1,products!$A$1:$G$1,0))</f>
        <v>M</v>
      </c>
      <c r="K897" s="11">
        <f>INDEX(products!$A$2:$G$49,MATCH(orders!$D897,products!$A$2:$A$49,0),MATCH(orders!K$1,products!$A$1:$G$1,0))</f>
        <v>2.5</v>
      </c>
      <c r="L897" s="12">
        <f>INDEX(products!$A$2:$G$49,MATCH(orders!$D897,products!$A$2:$A$49,0),MATCH(orders!L$1,products!$A$1:$G$1,0))</f>
        <v>31.624999999999996</v>
      </c>
      <c r="M897" s="12">
        <f t="shared" si="39"/>
        <v>158.12499999999997</v>
      </c>
      <c r="N897" s="10" t="str">
        <f t="shared" si="40"/>
        <v>Excelsa</v>
      </c>
      <c r="O897" s="10" t="str">
        <f t="shared" si="41"/>
        <v>Medium</v>
      </c>
      <c r="P897" s="10" t="str">
        <f>_xlfn.XLOOKUP(Tableau1[[#This Row],[Customer ID]],customers!A$2:A$1001,customers!I$2:I$1001)</f>
        <v>No</v>
      </c>
    </row>
    <row r="898" spans="1:16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9" t="str">
        <f>_xlfn.XLOOKUP(orders!C898,customers!$A$2:$A$1001,customers!$B$2:$B$1001)</f>
        <v>Baxy Cargen</v>
      </c>
      <c r="G898" s="9" t="str">
        <f>IF(_xlfn.XLOOKUP(orders!C898,customers!$A$2:$A$1001,customers!$C$2:$C$1001,,,)=0,"",_xlfn.XLOOKUP(orders!C898,customers!$A$2:$A$1001,customers!$C$2:$C$1001,,,))</f>
        <v>bcargenow@geocities.jp</v>
      </c>
      <c r="H898" s="9" t="str">
        <f>_xlfn.XLOOKUP(C898,customers!$A$2:$A$1001,customers!$G$2:$G$1001,"")</f>
        <v>United States</v>
      </c>
      <c r="I898" s="10" t="str">
        <f>INDEX(products!$A$2:$G$49,MATCH(orders!$D898,products!$A$2:$A$49,0),MATCH(orders!I$1,products!$A$1:$G$1,0))</f>
        <v>Rob</v>
      </c>
      <c r="J898" s="10" t="str">
        <f>INDEX(products!$A$2:$G$49,MATCH(orders!$D898,products!$A$2:$A$49,0),MATCH(orders!J$1,products!$A$1:$G$1,0))</f>
        <v>D</v>
      </c>
      <c r="K898" s="11">
        <f>INDEX(products!$A$2:$G$49,MATCH(orders!$D898,products!$A$2:$A$49,0),MATCH(orders!K$1,products!$A$1:$G$1,0))</f>
        <v>0.5</v>
      </c>
      <c r="L898" s="12">
        <f>INDEX(products!$A$2:$G$49,MATCH(orders!$D898,products!$A$2:$A$49,0),MATCH(orders!L$1,products!$A$1:$G$1,0))</f>
        <v>5.3699999999999992</v>
      </c>
      <c r="M898" s="12">
        <f t="shared" si="39"/>
        <v>32.22</v>
      </c>
      <c r="N898" s="10" t="str">
        <f t="shared" si="40"/>
        <v>Robusta</v>
      </c>
      <c r="O898" s="10" t="str">
        <f t="shared" si="41"/>
        <v>Dark</v>
      </c>
      <c r="P898" s="10" t="str">
        <f>_xlfn.XLOOKUP(Tableau1[[#This Row],[Customer ID]],customers!A$2:A$1001,customers!I$2:I$1001)</f>
        <v>Yes</v>
      </c>
    </row>
    <row r="899" spans="1:16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9" t="str">
        <f>_xlfn.XLOOKUP(orders!C899,customers!$A$2:$A$1001,customers!$B$2:$B$1001)</f>
        <v>Ryann Stickler</v>
      </c>
      <c r="G899" s="9" t="str">
        <f>IF(_xlfn.XLOOKUP(orders!C899,customers!$A$2:$A$1001,customers!$C$2:$C$1001,,,)=0,"",_xlfn.XLOOKUP(orders!C899,customers!$A$2:$A$1001,customers!$C$2:$C$1001,,,))</f>
        <v>rsticklerox@printfriendly.com</v>
      </c>
      <c r="H899" s="9" t="str">
        <f>_xlfn.XLOOKUP(C899,customers!$A$2:$A$1001,customers!$G$2:$G$1001,"")</f>
        <v>United Kingdom</v>
      </c>
      <c r="I899" s="10" t="str">
        <f>INDEX(products!$A$2:$G$49,MATCH(orders!$D899,products!$A$2:$A$49,0),MATCH(orders!I$1,products!$A$1:$G$1,0))</f>
        <v>Exc</v>
      </c>
      <c r="J899" s="10" t="str">
        <f>INDEX(products!$A$2:$G$49,MATCH(orders!$D899,products!$A$2:$A$49,0),MATCH(orders!J$1,products!$A$1:$G$1,0))</f>
        <v>D</v>
      </c>
      <c r="K899" s="11">
        <f>INDEX(products!$A$2:$G$49,MATCH(orders!$D899,products!$A$2:$A$49,0),MATCH(orders!K$1,products!$A$1:$G$1,0))</f>
        <v>1</v>
      </c>
      <c r="L899" s="12">
        <f>INDEX(products!$A$2:$G$49,MATCH(orders!$D899,products!$A$2:$A$49,0),MATCH(orders!L$1,products!$A$1:$G$1,0))</f>
        <v>12.15</v>
      </c>
      <c r="M899" s="12">
        <f t="shared" ref="M899:M962" si="42">L899*E899</f>
        <v>24.3</v>
      </c>
      <c r="N899" s="10" t="str">
        <f t="shared" ref="N899:N962" si="43">IF(I899="Rob","Robusta",IF(I899="Exc","Excelsa",IF(I899="Ara","Arabica",IF(I899="Lib","Liberica"))))</f>
        <v>Excelsa</v>
      </c>
      <c r="O899" s="10" t="str">
        <f t="shared" ref="O899:O962" si="44">IF(J899="M","Medium",IF(J899="L","Light",IF(J899="D","Dark")))</f>
        <v>Dark</v>
      </c>
      <c r="P899" s="10" t="str">
        <f>_xlfn.XLOOKUP(Tableau1[[#This Row],[Customer ID]],customers!A$2:A$1001,customers!I$2:I$1001)</f>
        <v>No</v>
      </c>
    </row>
    <row r="900" spans="1:16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9" t="str">
        <f>_xlfn.XLOOKUP(orders!C900,customers!$A$2:$A$1001,customers!$B$2:$B$1001)</f>
        <v>Daryn Cassius</v>
      </c>
      <c r="G900" s="9" t="str">
        <f>IF(_xlfn.XLOOKUP(orders!C900,customers!$A$2:$A$1001,customers!$C$2:$C$1001,,,)=0,"",_xlfn.XLOOKUP(orders!C900,customers!$A$2:$A$1001,customers!$C$2:$C$1001,,,))</f>
        <v/>
      </c>
      <c r="H900" s="9" t="str">
        <f>_xlfn.XLOOKUP(C900,customers!$A$2:$A$1001,customers!$G$2:$G$1001,"")</f>
        <v>United States</v>
      </c>
      <c r="I900" s="10" t="str">
        <f>INDEX(products!$A$2:$G$49,MATCH(orders!$D900,products!$A$2:$A$49,0),MATCH(orders!I$1,products!$A$1:$G$1,0))</f>
        <v>Rob</v>
      </c>
      <c r="J900" s="10" t="str">
        <f>INDEX(products!$A$2:$G$49,MATCH(orders!$D900,products!$A$2:$A$49,0),MATCH(orders!J$1,products!$A$1:$G$1,0))</f>
        <v>L</v>
      </c>
      <c r="K900" s="11">
        <f>INDEX(products!$A$2:$G$49,MATCH(orders!$D900,products!$A$2:$A$49,0),MATCH(orders!K$1,products!$A$1:$G$1,0))</f>
        <v>0.5</v>
      </c>
      <c r="L900" s="12">
        <f>INDEX(products!$A$2:$G$49,MATCH(orders!$D900,products!$A$2:$A$49,0),MATCH(orders!L$1,products!$A$1:$G$1,0))</f>
        <v>7.169999999999999</v>
      </c>
      <c r="M900" s="12">
        <f t="shared" si="42"/>
        <v>35.849999999999994</v>
      </c>
      <c r="N900" s="10" t="str">
        <f t="shared" si="43"/>
        <v>Robusta</v>
      </c>
      <c r="O900" s="10" t="str">
        <f t="shared" si="44"/>
        <v>Light</v>
      </c>
      <c r="P900" s="10" t="str">
        <f>_xlfn.XLOOKUP(Tableau1[[#This Row],[Customer ID]],customers!A$2:A$1001,customers!I$2:I$1001)</f>
        <v>No</v>
      </c>
    </row>
    <row r="901" spans="1:16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9" t="str">
        <f>_xlfn.XLOOKUP(orders!C901,customers!$A$2:$A$1001,customers!$B$2:$B$1001)</f>
        <v>Derick Snow</v>
      </c>
      <c r="G901" s="9" t="str">
        <f>IF(_xlfn.XLOOKUP(orders!C901,customers!$A$2:$A$1001,customers!$C$2:$C$1001,,,)=0,"",_xlfn.XLOOKUP(orders!C901,customers!$A$2:$A$1001,customers!$C$2:$C$1001,,,))</f>
        <v/>
      </c>
      <c r="H901" s="9" t="str">
        <f>_xlfn.XLOOKUP(C901,customers!$A$2:$A$1001,customers!$G$2:$G$1001,"")</f>
        <v>United States</v>
      </c>
      <c r="I901" s="10" t="str">
        <f>INDEX(products!$A$2:$G$49,MATCH(orders!$D901,products!$A$2:$A$49,0),MATCH(orders!I$1,products!$A$1:$G$1,0))</f>
        <v>Lib</v>
      </c>
      <c r="J901" s="10" t="str">
        <f>INDEX(products!$A$2:$G$49,MATCH(orders!$D901,products!$A$2:$A$49,0),MATCH(orders!J$1,products!$A$1:$G$1,0))</f>
        <v>M</v>
      </c>
      <c r="K901" s="11">
        <f>INDEX(products!$A$2:$G$49,MATCH(orders!$D901,products!$A$2:$A$49,0),MATCH(orders!K$1,products!$A$1:$G$1,0))</f>
        <v>1</v>
      </c>
      <c r="L901" s="12">
        <f>INDEX(products!$A$2:$G$49,MATCH(orders!$D901,products!$A$2:$A$49,0),MATCH(orders!L$1,products!$A$1:$G$1,0))</f>
        <v>14.55</v>
      </c>
      <c r="M901" s="12">
        <f t="shared" si="42"/>
        <v>72.75</v>
      </c>
      <c r="N901" s="10" t="str">
        <f t="shared" si="43"/>
        <v>Liberica</v>
      </c>
      <c r="O901" s="10" t="str">
        <f t="shared" si="44"/>
        <v>Medium</v>
      </c>
      <c r="P901" s="10" t="str">
        <f>_xlfn.XLOOKUP(Tableau1[[#This Row],[Customer ID]],customers!A$2:A$1001,customers!I$2:I$1001)</f>
        <v>No</v>
      </c>
    </row>
    <row r="902" spans="1:16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9" t="str">
        <f>_xlfn.XLOOKUP(orders!C902,customers!$A$2:$A$1001,customers!$B$2:$B$1001)</f>
        <v>Skelly Dolohunty</v>
      </c>
      <c r="G902" s="9" t="str">
        <f>IF(_xlfn.XLOOKUP(orders!C902,customers!$A$2:$A$1001,customers!$C$2:$C$1001,,,)=0,"",_xlfn.XLOOKUP(orders!C902,customers!$A$2:$A$1001,customers!$C$2:$C$1001,,,))</f>
        <v/>
      </c>
      <c r="H902" s="9" t="str">
        <f>_xlfn.XLOOKUP(C902,customers!$A$2:$A$1001,customers!$G$2:$G$1001,"")</f>
        <v>Ireland</v>
      </c>
      <c r="I902" s="10" t="str">
        <f>INDEX(products!$A$2:$G$49,MATCH(orders!$D902,products!$A$2:$A$49,0),MATCH(orders!I$1,products!$A$1:$G$1,0))</f>
        <v>Lib</v>
      </c>
      <c r="J902" s="10" t="str">
        <f>INDEX(products!$A$2:$G$49,MATCH(orders!$D902,products!$A$2:$A$49,0),MATCH(orders!J$1,products!$A$1:$G$1,0))</f>
        <v>L</v>
      </c>
      <c r="K902" s="11">
        <f>INDEX(products!$A$2:$G$49,MATCH(orders!$D902,products!$A$2:$A$49,0),MATCH(orders!K$1,products!$A$1:$G$1,0))</f>
        <v>1</v>
      </c>
      <c r="L902" s="12">
        <f>INDEX(products!$A$2:$G$49,MATCH(orders!$D902,products!$A$2:$A$49,0),MATCH(orders!L$1,products!$A$1:$G$1,0))</f>
        <v>15.85</v>
      </c>
      <c r="M902" s="12">
        <f t="shared" si="42"/>
        <v>47.55</v>
      </c>
      <c r="N902" s="10" t="str">
        <f t="shared" si="43"/>
        <v>Liberica</v>
      </c>
      <c r="O902" s="10" t="str">
        <f t="shared" si="44"/>
        <v>Light</v>
      </c>
      <c r="P902" s="10" t="str">
        <f>_xlfn.XLOOKUP(Tableau1[[#This Row],[Customer ID]],customers!A$2:A$1001,customers!I$2:I$1001)</f>
        <v>No</v>
      </c>
    </row>
    <row r="903" spans="1:16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9" t="str">
        <f>_xlfn.XLOOKUP(orders!C903,customers!$A$2:$A$1001,customers!$B$2:$B$1001)</f>
        <v>Drake Jevon</v>
      </c>
      <c r="G903" s="9" t="str">
        <f>IF(_xlfn.XLOOKUP(orders!C903,customers!$A$2:$A$1001,customers!$C$2:$C$1001,,,)=0,"",_xlfn.XLOOKUP(orders!C903,customers!$A$2:$A$1001,customers!$C$2:$C$1001,,,))</f>
        <v>djevonp1@ibm.com</v>
      </c>
      <c r="H903" s="9" t="str">
        <f>_xlfn.XLOOKUP(C903,customers!$A$2:$A$1001,customers!$G$2:$G$1001,"")</f>
        <v>United States</v>
      </c>
      <c r="I903" s="10" t="str">
        <f>INDEX(products!$A$2:$G$49,MATCH(orders!$D903,products!$A$2:$A$49,0),MATCH(orders!I$1,products!$A$1:$G$1,0))</f>
        <v>Rob</v>
      </c>
      <c r="J903" s="10" t="str">
        <f>INDEX(products!$A$2:$G$49,MATCH(orders!$D903,products!$A$2:$A$49,0),MATCH(orders!J$1,products!$A$1:$G$1,0))</f>
        <v>L</v>
      </c>
      <c r="K903" s="11">
        <f>INDEX(products!$A$2:$G$49,MATCH(orders!$D903,products!$A$2:$A$49,0),MATCH(orders!K$1,products!$A$1:$G$1,0))</f>
        <v>0.2</v>
      </c>
      <c r="L903" s="12">
        <f>INDEX(products!$A$2:$G$49,MATCH(orders!$D903,products!$A$2:$A$49,0),MATCH(orders!L$1,products!$A$1:$G$1,0))</f>
        <v>3.5849999999999995</v>
      </c>
      <c r="M903" s="12">
        <f t="shared" si="42"/>
        <v>3.5849999999999995</v>
      </c>
      <c r="N903" s="10" t="str">
        <f t="shared" si="43"/>
        <v>Robusta</v>
      </c>
      <c r="O903" s="10" t="str">
        <f t="shared" si="44"/>
        <v>Light</v>
      </c>
      <c r="P903" s="10" t="str">
        <f>_xlfn.XLOOKUP(Tableau1[[#This Row],[Customer ID]],customers!A$2:A$1001,customers!I$2:I$1001)</f>
        <v>Yes</v>
      </c>
    </row>
    <row r="904" spans="1:16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9" t="str">
        <f>_xlfn.XLOOKUP(orders!C904,customers!$A$2:$A$1001,customers!$B$2:$B$1001)</f>
        <v>Hall Ranner</v>
      </c>
      <c r="G904" s="9" t="str">
        <f>IF(_xlfn.XLOOKUP(orders!C904,customers!$A$2:$A$1001,customers!$C$2:$C$1001,,,)=0,"",_xlfn.XLOOKUP(orders!C904,customers!$A$2:$A$1001,customers!$C$2:$C$1001,,,))</f>
        <v>hrannerp2@omniture.com</v>
      </c>
      <c r="H904" s="9" t="str">
        <f>_xlfn.XLOOKUP(C904,customers!$A$2:$A$1001,customers!$G$2:$G$1001,"")</f>
        <v>United States</v>
      </c>
      <c r="I904" s="10" t="str">
        <f>INDEX(products!$A$2:$G$49,MATCH(orders!$D904,products!$A$2:$A$49,0),MATCH(orders!I$1,products!$A$1:$G$1,0))</f>
        <v>Exc</v>
      </c>
      <c r="J904" s="10" t="str">
        <f>INDEX(products!$A$2:$G$49,MATCH(orders!$D904,products!$A$2:$A$49,0),MATCH(orders!J$1,products!$A$1:$G$1,0))</f>
        <v>M</v>
      </c>
      <c r="K904" s="11">
        <f>INDEX(products!$A$2:$G$49,MATCH(orders!$D904,products!$A$2:$A$49,0),MATCH(orders!K$1,products!$A$1:$G$1,0))</f>
        <v>2.5</v>
      </c>
      <c r="L904" s="12">
        <f>INDEX(products!$A$2:$G$49,MATCH(orders!$D904,products!$A$2:$A$49,0),MATCH(orders!L$1,products!$A$1:$G$1,0))</f>
        <v>31.624999999999996</v>
      </c>
      <c r="M904" s="12">
        <f t="shared" si="42"/>
        <v>158.12499999999997</v>
      </c>
      <c r="N904" s="10" t="str">
        <f t="shared" si="43"/>
        <v>Excelsa</v>
      </c>
      <c r="O904" s="10" t="str">
        <f t="shared" si="44"/>
        <v>Medium</v>
      </c>
      <c r="P904" s="10" t="str">
        <f>_xlfn.XLOOKUP(Tableau1[[#This Row],[Customer ID]],customers!A$2:A$1001,customers!I$2:I$1001)</f>
        <v>No</v>
      </c>
    </row>
    <row r="905" spans="1:16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9" t="str">
        <f>_xlfn.XLOOKUP(orders!C905,customers!$A$2:$A$1001,customers!$B$2:$B$1001)</f>
        <v>Berkly Imrie</v>
      </c>
      <c r="G905" s="9" t="str">
        <f>IF(_xlfn.XLOOKUP(orders!C905,customers!$A$2:$A$1001,customers!$C$2:$C$1001,,,)=0,"",_xlfn.XLOOKUP(orders!C905,customers!$A$2:$A$1001,customers!$C$2:$C$1001,,,))</f>
        <v>bimriep3@addtoany.com</v>
      </c>
      <c r="H905" s="9" t="str">
        <f>_xlfn.XLOOKUP(C905,customers!$A$2:$A$1001,customers!$G$2:$G$1001,"")</f>
        <v>United States</v>
      </c>
      <c r="I905" s="10" t="str">
        <f>INDEX(products!$A$2:$G$49,MATCH(orders!$D905,products!$A$2:$A$49,0),MATCH(orders!I$1,products!$A$1:$G$1,0))</f>
        <v>Lib</v>
      </c>
      <c r="J905" s="10" t="str">
        <f>INDEX(products!$A$2:$G$49,MATCH(orders!$D905,products!$A$2:$A$49,0),MATCH(orders!J$1,products!$A$1:$G$1,0))</f>
        <v>M</v>
      </c>
      <c r="K905" s="11">
        <f>INDEX(products!$A$2:$G$49,MATCH(orders!$D905,products!$A$2:$A$49,0),MATCH(orders!K$1,products!$A$1:$G$1,0))</f>
        <v>0.5</v>
      </c>
      <c r="L905" s="12">
        <f>INDEX(products!$A$2:$G$49,MATCH(orders!$D905,products!$A$2:$A$49,0),MATCH(orders!L$1,products!$A$1:$G$1,0))</f>
        <v>8.73</v>
      </c>
      <c r="M905" s="12">
        <f t="shared" si="42"/>
        <v>17.46</v>
      </c>
      <c r="N905" s="10" t="str">
        <f t="shared" si="43"/>
        <v>Liberica</v>
      </c>
      <c r="O905" s="10" t="str">
        <f t="shared" si="44"/>
        <v>Medium</v>
      </c>
      <c r="P905" s="10" t="str">
        <f>_xlfn.XLOOKUP(Tableau1[[#This Row],[Customer ID]],customers!A$2:A$1001,customers!I$2:I$1001)</f>
        <v>No</v>
      </c>
    </row>
    <row r="906" spans="1:16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9" t="str">
        <f>_xlfn.XLOOKUP(orders!C906,customers!$A$2:$A$1001,customers!$B$2:$B$1001)</f>
        <v>Dorey Sopper</v>
      </c>
      <c r="G906" s="9" t="str">
        <f>IF(_xlfn.XLOOKUP(orders!C906,customers!$A$2:$A$1001,customers!$C$2:$C$1001,,,)=0,"",_xlfn.XLOOKUP(orders!C906,customers!$A$2:$A$1001,customers!$C$2:$C$1001,,,))</f>
        <v>dsopperp4@eventbrite.com</v>
      </c>
      <c r="H906" s="9" t="str">
        <f>_xlfn.XLOOKUP(C906,customers!$A$2:$A$1001,customers!$G$2:$G$1001,"")</f>
        <v>United States</v>
      </c>
      <c r="I906" s="10" t="str">
        <f>INDEX(products!$A$2:$G$49,MATCH(orders!$D906,products!$A$2:$A$49,0),MATCH(orders!I$1,products!$A$1:$G$1,0))</f>
        <v>Ara</v>
      </c>
      <c r="J906" s="10" t="str">
        <f>INDEX(products!$A$2:$G$49,MATCH(orders!$D906,products!$A$2:$A$49,0),MATCH(orders!J$1,products!$A$1:$G$1,0))</f>
        <v>L</v>
      </c>
      <c r="K906" s="11">
        <f>INDEX(products!$A$2:$G$49,MATCH(orders!$D906,products!$A$2:$A$49,0),MATCH(orders!K$1,products!$A$1:$G$1,0))</f>
        <v>2.5</v>
      </c>
      <c r="L906" s="12">
        <f>INDEX(products!$A$2:$G$49,MATCH(orders!$D906,products!$A$2:$A$49,0),MATCH(orders!L$1,products!$A$1:$G$1,0))</f>
        <v>29.784999999999997</v>
      </c>
      <c r="M906" s="12">
        <f t="shared" si="42"/>
        <v>148.92499999999998</v>
      </c>
      <c r="N906" s="10" t="str">
        <f t="shared" si="43"/>
        <v>Arabica</v>
      </c>
      <c r="O906" s="10" t="str">
        <f t="shared" si="44"/>
        <v>Light</v>
      </c>
      <c r="P906" s="10" t="str">
        <f>_xlfn.XLOOKUP(Tableau1[[#This Row],[Customer ID]],customers!A$2:A$1001,customers!I$2:I$1001)</f>
        <v>No</v>
      </c>
    </row>
    <row r="907" spans="1:16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9" t="str">
        <f>_xlfn.XLOOKUP(orders!C907,customers!$A$2:$A$1001,customers!$B$2:$B$1001)</f>
        <v>Darcy Lochran</v>
      </c>
      <c r="G907" s="9" t="str">
        <f>IF(_xlfn.XLOOKUP(orders!C907,customers!$A$2:$A$1001,customers!$C$2:$C$1001,,,)=0,"",_xlfn.XLOOKUP(orders!C907,customers!$A$2:$A$1001,customers!$C$2:$C$1001,,,))</f>
        <v/>
      </c>
      <c r="H907" s="9" t="str">
        <f>_xlfn.XLOOKUP(C907,customers!$A$2:$A$1001,customers!$G$2:$G$1001,"")</f>
        <v>United States</v>
      </c>
      <c r="I907" s="10" t="str">
        <f>INDEX(products!$A$2:$G$49,MATCH(orders!$D907,products!$A$2:$A$49,0),MATCH(orders!I$1,products!$A$1:$G$1,0))</f>
        <v>Ara</v>
      </c>
      <c r="J907" s="10" t="str">
        <f>INDEX(products!$A$2:$G$49,MATCH(orders!$D907,products!$A$2:$A$49,0),MATCH(orders!J$1,products!$A$1:$G$1,0))</f>
        <v>M</v>
      </c>
      <c r="K907" s="11">
        <f>INDEX(products!$A$2:$G$49,MATCH(orders!$D907,products!$A$2:$A$49,0),MATCH(orders!K$1,products!$A$1:$G$1,0))</f>
        <v>0.5</v>
      </c>
      <c r="L907" s="12">
        <f>INDEX(products!$A$2:$G$49,MATCH(orders!$D907,products!$A$2:$A$49,0),MATCH(orders!L$1,products!$A$1:$G$1,0))</f>
        <v>6.75</v>
      </c>
      <c r="M907" s="12">
        <f t="shared" si="42"/>
        <v>40.5</v>
      </c>
      <c r="N907" s="10" t="str">
        <f t="shared" si="43"/>
        <v>Arabica</v>
      </c>
      <c r="O907" s="10" t="str">
        <f t="shared" si="44"/>
        <v>Medium</v>
      </c>
      <c r="P907" s="10" t="str">
        <f>_xlfn.XLOOKUP(Tableau1[[#This Row],[Customer ID]],customers!A$2:A$1001,customers!I$2:I$1001)</f>
        <v>Yes</v>
      </c>
    </row>
    <row r="908" spans="1:16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9" t="str">
        <f>_xlfn.XLOOKUP(orders!C908,customers!$A$2:$A$1001,customers!$B$2:$B$1001)</f>
        <v>Lauritz Ledgley</v>
      </c>
      <c r="G908" s="9" t="str">
        <f>IF(_xlfn.XLOOKUP(orders!C908,customers!$A$2:$A$1001,customers!$C$2:$C$1001,,,)=0,"",_xlfn.XLOOKUP(orders!C908,customers!$A$2:$A$1001,customers!$C$2:$C$1001,,,))</f>
        <v>lledgleyp6@de.vu</v>
      </c>
      <c r="H908" s="9" t="str">
        <f>_xlfn.XLOOKUP(C908,customers!$A$2:$A$1001,customers!$G$2:$G$1001,"")</f>
        <v>United States</v>
      </c>
      <c r="I908" s="10" t="str">
        <f>INDEX(products!$A$2:$G$49,MATCH(orders!$D908,products!$A$2:$A$49,0),MATCH(orders!I$1,products!$A$1:$G$1,0))</f>
        <v>Ara</v>
      </c>
      <c r="J908" s="10" t="str">
        <f>INDEX(products!$A$2:$G$49,MATCH(orders!$D908,products!$A$2:$A$49,0),MATCH(orders!J$1,products!$A$1:$G$1,0))</f>
        <v>M</v>
      </c>
      <c r="K908" s="11">
        <f>INDEX(products!$A$2:$G$49,MATCH(orders!$D908,products!$A$2:$A$49,0),MATCH(orders!K$1,products!$A$1:$G$1,0))</f>
        <v>0.5</v>
      </c>
      <c r="L908" s="12">
        <f>INDEX(products!$A$2:$G$49,MATCH(orders!$D908,products!$A$2:$A$49,0),MATCH(orders!L$1,products!$A$1:$G$1,0))</f>
        <v>6.75</v>
      </c>
      <c r="M908" s="12">
        <f t="shared" si="42"/>
        <v>27</v>
      </c>
      <c r="N908" s="10" t="str">
        <f t="shared" si="43"/>
        <v>Arabica</v>
      </c>
      <c r="O908" s="10" t="str">
        <f t="shared" si="44"/>
        <v>Medium</v>
      </c>
      <c r="P908" s="10" t="str">
        <f>_xlfn.XLOOKUP(Tableau1[[#This Row],[Customer ID]],customers!A$2:A$1001,customers!I$2:I$1001)</f>
        <v>Yes</v>
      </c>
    </row>
    <row r="909" spans="1:16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9" t="str">
        <f>_xlfn.XLOOKUP(orders!C909,customers!$A$2:$A$1001,customers!$B$2:$B$1001)</f>
        <v>Tawnya Menary</v>
      </c>
      <c r="G909" s="9" t="str">
        <f>IF(_xlfn.XLOOKUP(orders!C909,customers!$A$2:$A$1001,customers!$C$2:$C$1001,,,)=0,"",_xlfn.XLOOKUP(orders!C909,customers!$A$2:$A$1001,customers!$C$2:$C$1001,,,))</f>
        <v>tmenaryp7@phoca.cz</v>
      </c>
      <c r="H909" s="9" t="str">
        <f>_xlfn.XLOOKUP(C909,customers!$A$2:$A$1001,customers!$G$2:$G$1001,"")</f>
        <v>United States</v>
      </c>
      <c r="I909" s="10" t="str">
        <f>INDEX(products!$A$2:$G$49,MATCH(orders!$D909,products!$A$2:$A$49,0),MATCH(orders!I$1,products!$A$1:$G$1,0))</f>
        <v>Lib</v>
      </c>
      <c r="J909" s="10" t="str">
        <f>INDEX(products!$A$2:$G$49,MATCH(orders!$D909,products!$A$2:$A$49,0),MATCH(orders!J$1,products!$A$1:$G$1,0))</f>
        <v>D</v>
      </c>
      <c r="K909" s="11">
        <f>INDEX(products!$A$2:$G$49,MATCH(orders!$D909,products!$A$2:$A$49,0),MATCH(orders!K$1,products!$A$1:$G$1,0))</f>
        <v>1</v>
      </c>
      <c r="L909" s="12">
        <f>INDEX(products!$A$2:$G$49,MATCH(orders!$D909,products!$A$2:$A$49,0),MATCH(orders!L$1,products!$A$1:$G$1,0))</f>
        <v>12.95</v>
      </c>
      <c r="M909" s="12">
        <f t="shared" si="42"/>
        <v>38.849999999999994</v>
      </c>
      <c r="N909" s="10" t="str">
        <f t="shared" si="43"/>
        <v>Liberica</v>
      </c>
      <c r="O909" s="10" t="str">
        <f t="shared" si="44"/>
        <v>Dark</v>
      </c>
      <c r="P909" s="10" t="str">
        <f>_xlfn.XLOOKUP(Tableau1[[#This Row],[Customer ID]],customers!A$2:A$1001,customers!I$2:I$1001)</f>
        <v>No</v>
      </c>
    </row>
    <row r="910" spans="1:16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9" t="str">
        <f>_xlfn.XLOOKUP(orders!C910,customers!$A$2:$A$1001,customers!$B$2:$B$1001)</f>
        <v>Gustaf Ciccotti</v>
      </c>
      <c r="G910" s="9" t="str">
        <f>IF(_xlfn.XLOOKUP(orders!C910,customers!$A$2:$A$1001,customers!$C$2:$C$1001,,,)=0,"",_xlfn.XLOOKUP(orders!C910,customers!$A$2:$A$1001,customers!$C$2:$C$1001,,,))</f>
        <v>gciccottip8@so-net.ne.jp</v>
      </c>
      <c r="H910" s="9" t="str">
        <f>_xlfn.XLOOKUP(C910,customers!$A$2:$A$1001,customers!$G$2:$G$1001,"")</f>
        <v>United States</v>
      </c>
      <c r="I910" s="10" t="str">
        <f>INDEX(products!$A$2:$G$49,MATCH(orders!$D910,products!$A$2:$A$49,0),MATCH(orders!I$1,products!$A$1:$G$1,0))</f>
        <v>Rob</v>
      </c>
      <c r="J910" s="10" t="str">
        <f>INDEX(products!$A$2:$G$49,MATCH(orders!$D910,products!$A$2:$A$49,0),MATCH(orders!J$1,products!$A$1:$G$1,0))</f>
        <v>L</v>
      </c>
      <c r="K910" s="11">
        <f>INDEX(products!$A$2:$G$49,MATCH(orders!$D910,products!$A$2:$A$49,0),MATCH(orders!K$1,products!$A$1:$G$1,0))</f>
        <v>1</v>
      </c>
      <c r="L910" s="12">
        <f>INDEX(products!$A$2:$G$49,MATCH(orders!$D910,products!$A$2:$A$49,0),MATCH(orders!L$1,products!$A$1:$G$1,0))</f>
        <v>11.95</v>
      </c>
      <c r="M910" s="12">
        <f t="shared" si="42"/>
        <v>59.75</v>
      </c>
      <c r="N910" s="10" t="str">
        <f t="shared" si="43"/>
        <v>Robusta</v>
      </c>
      <c r="O910" s="10" t="str">
        <f t="shared" si="44"/>
        <v>Light</v>
      </c>
      <c r="P910" s="10" t="str">
        <f>_xlfn.XLOOKUP(Tableau1[[#This Row],[Customer ID]],customers!A$2:A$1001,customers!I$2:I$1001)</f>
        <v>No</v>
      </c>
    </row>
    <row r="911" spans="1:16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9" t="str">
        <f>_xlfn.XLOOKUP(orders!C911,customers!$A$2:$A$1001,customers!$B$2:$B$1001)</f>
        <v>Bobbe Renner</v>
      </c>
      <c r="G911" s="9" t="str">
        <f>IF(_xlfn.XLOOKUP(orders!C911,customers!$A$2:$A$1001,customers!$C$2:$C$1001,,,)=0,"",_xlfn.XLOOKUP(orders!C911,customers!$A$2:$A$1001,customers!$C$2:$C$1001,,,))</f>
        <v/>
      </c>
      <c r="H911" s="9" t="str">
        <f>_xlfn.XLOOKUP(C911,customers!$A$2:$A$1001,customers!$G$2:$G$1001,"")</f>
        <v>United States</v>
      </c>
      <c r="I911" s="10" t="str">
        <f>INDEX(products!$A$2:$G$49,MATCH(orders!$D911,products!$A$2:$A$49,0),MATCH(orders!I$1,products!$A$1:$G$1,0))</f>
        <v>Rob</v>
      </c>
      <c r="J911" s="10" t="str">
        <f>INDEX(products!$A$2:$G$49,MATCH(orders!$D911,products!$A$2:$A$49,0),MATCH(orders!J$1,products!$A$1:$G$1,0))</f>
        <v>L</v>
      </c>
      <c r="K911" s="11">
        <f>INDEX(products!$A$2:$G$49,MATCH(orders!$D911,products!$A$2:$A$49,0),MATCH(orders!K$1,products!$A$1:$G$1,0))</f>
        <v>0.2</v>
      </c>
      <c r="L911" s="12">
        <f>INDEX(products!$A$2:$G$49,MATCH(orders!$D911,products!$A$2:$A$49,0),MATCH(orders!L$1,products!$A$1:$G$1,0))</f>
        <v>3.5849999999999995</v>
      </c>
      <c r="M911" s="12">
        <f t="shared" si="42"/>
        <v>10.754999999999999</v>
      </c>
      <c r="N911" s="10" t="str">
        <f t="shared" si="43"/>
        <v>Robusta</v>
      </c>
      <c r="O911" s="10" t="str">
        <f t="shared" si="44"/>
        <v>Light</v>
      </c>
      <c r="P911" s="10" t="str">
        <f>_xlfn.XLOOKUP(Tableau1[[#This Row],[Customer ID]],customers!A$2:A$1001,customers!I$2:I$1001)</f>
        <v>No</v>
      </c>
    </row>
    <row r="912" spans="1:16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9" t="str">
        <f>_xlfn.XLOOKUP(orders!C912,customers!$A$2:$A$1001,customers!$B$2:$B$1001)</f>
        <v>Wilton Jallin</v>
      </c>
      <c r="G912" s="9" t="str">
        <f>IF(_xlfn.XLOOKUP(orders!C912,customers!$A$2:$A$1001,customers!$C$2:$C$1001,,,)=0,"",_xlfn.XLOOKUP(orders!C912,customers!$A$2:$A$1001,customers!$C$2:$C$1001,,,))</f>
        <v>wjallinpa@pcworld.com</v>
      </c>
      <c r="H912" s="9" t="str">
        <f>_xlfn.XLOOKUP(C912,customers!$A$2:$A$1001,customers!$G$2:$G$1001,"")</f>
        <v>United States</v>
      </c>
      <c r="I912" s="10" t="str">
        <f>INDEX(products!$A$2:$G$49,MATCH(orders!$D912,products!$A$2:$A$49,0),MATCH(orders!I$1,products!$A$1:$G$1,0))</f>
        <v>Ara</v>
      </c>
      <c r="J912" s="10" t="str">
        <f>INDEX(products!$A$2:$G$49,MATCH(orders!$D912,products!$A$2:$A$49,0),MATCH(orders!J$1,products!$A$1:$G$1,0))</f>
        <v>D</v>
      </c>
      <c r="K912" s="11">
        <f>INDEX(products!$A$2:$G$49,MATCH(orders!$D912,products!$A$2:$A$49,0),MATCH(orders!K$1,products!$A$1:$G$1,0))</f>
        <v>2.5</v>
      </c>
      <c r="L912" s="12">
        <f>INDEX(products!$A$2:$G$49,MATCH(orders!$D912,products!$A$2:$A$49,0),MATCH(orders!L$1,products!$A$1:$G$1,0))</f>
        <v>22.884999999999998</v>
      </c>
      <c r="M912" s="12">
        <f t="shared" si="42"/>
        <v>91.539999999999992</v>
      </c>
      <c r="N912" s="10" t="str">
        <f t="shared" si="43"/>
        <v>Arabica</v>
      </c>
      <c r="O912" s="10" t="str">
        <f t="shared" si="44"/>
        <v>Dark</v>
      </c>
      <c r="P912" s="10" t="str">
        <f>_xlfn.XLOOKUP(Tableau1[[#This Row],[Customer ID]],customers!A$2:A$1001,customers!I$2:I$1001)</f>
        <v>No</v>
      </c>
    </row>
    <row r="913" spans="1:16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9" t="str">
        <f>_xlfn.XLOOKUP(orders!C913,customers!$A$2:$A$1001,customers!$B$2:$B$1001)</f>
        <v>Mindy Bogey</v>
      </c>
      <c r="G913" s="9" t="str">
        <f>IF(_xlfn.XLOOKUP(orders!C913,customers!$A$2:$A$1001,customers!$C$2:$C$1001,,,)=0,"",_xlfn.XLOOKUP(orders!C913,customers!$A$2:$A$1001,customers!$C$2:$C$1001,,,))</f>
        <v>mbogeypb@thetimes.co.uk</v>
      </c>
      <c r="H913" s="9" t="str">
        <f>_xlfn.XLOOKUP(C913,customers!$A$2:$A$1001,customers!$G$2:$G$1001,"")</f>
        <v>United States</v>
      </c>
      <c r="I913" s="10" t="str">
        <f>INDEX(products!$A$2:$G$49,MATCH(orders!$D913,products!$A$2:$A$49,0),MATCH(orders!I$1,products!$A$1:$G$1,0))</f>
        <v>Ara</v>
      </c>
      <c r="J913" s="10" t="str">
        <f>INDEX(products!$A$2:$G$49,MATCH(orders!$D913,products!$A$2:$A$49,0),MATCH(orders!J$1,products!$A$1:$G$1,0))</f>
        <v>M</v>
      </c>
      <c r="K913" s="11">
        <f>INDEX(products!$A$2:$G$49,MATCH(orders!$D913,products!$A$2:$A$49,0),MATCH(orders!K$1,products!$A$1:$G$1,0))</f>
        <v>1</v>
      </c>
      <c r="L913" s="12">
        <f>INDEX(products!$A$2:$G$49,MATCH(orders!$D913,products!$A$2:$A$49,0),MATCH(orders!L$1,products!$A$1:$G$1,0))</f>
        <v>11.25</v>
      </c>
      <c r="M913" s="12">
        <f t="shared" si="42"/>
        <v>45</v>
      </c>
      <c r="N913" s="10" t="str">
        <f t="shared" si="43"/>
        <v>Arabica</v>
      </c>
      <c r="O913" s="10" t="str">
        <f t="shared" si="44"/>
        <v>Medium</v>
      </c>
      <c r="P913" s="10" t="str">
        <f>_xlfn.XLOOKUP(Tableau1[[#This Row],[Customer ID]],customers!A$2:A$1001,customers!I$2:I$1001)</f>
        <v>Yes</v>
      </c>
    </row>
    <row r="914" spans="1:16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9" t="str">
        <f>_xlfn.XLOOKUP(orders!C914,customers!$A$2:$A$1001,customers!$B$2:$B$1001)</f>
        <v>Paulie Fonzone</v>
      </c>
      <c r="G914" s="9" t="str">
        <f>IF(_xlfn.XLOOKUP(orders!C914,customers!$A$2:$A$1001,customers!$C$2:$C$1001,,,)=0,"",_xlfn.XLOOKUP(orders!C914,customers!$A$2:$A$1001,customers!$C$2:$C$1001,,,))</f>
        <v/>
      </c>
      <c r="H914" s="9" t="str">
        <f>_xlfn.XLOOKUP(C914,customers!$A$2:$A$1001,customers!$G$2:$G$1001,"")</f>
        <v>United States</v>
      </c>
      <c r="I914" s="10" t="str">
        <f>INDEX(products!$A$2:$G$49,MATCH(orders!$D914,products!$A$2:$A$49,0),MATCH(orders!I$1,products!$A$1:$G$1,0))</f>
        <v>Rob</v>
      </c>
      <c r="J914" s="10" t="str">
        <f>INDEX(products!$A$2:$G$49,MATCH(orders!$D914,products!$A$2:$A$49,0),MATCH(orders!J$1,products!$A$1:$G$1,0))</f>
        <v>M</v>
      </c>
      <c r="K914" s="11">
        <f>INDEX(products!$A$2:$G$49,MATCH(orders!$D914,products!$A$2:$A$49,0),MATCH(orders!K$1,products!$A$1:$G$1,0))</f>
        <v>2.5</v>
      </c>
      <c r="L914" s="12">
        <f>INDEX(products!$A$2:$G$49,MATCH(orders!$D914,products!$A$2:$A$49,0),MATCH(orders!L$1,products!$A$1:$G$1,0))</f>
        <v>22.884999999999998</v>
      </c>
      <c r="M914" s="12">
        <f t="shared" si="42"/>
        <v>137.31</v>
      </c>
      <c r="N914" s="10" t="str">
        <f t="shared" si="43"/>
        <v>Robusta</v>
      </c>
      <c r="O914" s="10" t="str">
        <f t="shared" si="44"/>
        <v>Medium</v>
      </c>
      <c r="P914" s="10" t="str">
        <f>_xlfn.XLOOKUP(Tableau1[[#This Row],[Customer ID]],customers!A$2:A$1001,customers!I$2:I$1001)</f>
        <v>Yes</v>
      </c>
    </row>
    <row r="915" spans="1:16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9" t="str">
        <f>_xlfn.XLOOKUP(orders!C915,customers!$A$2:$A$1001,customers!$B$2:$B$1001)</f>
        <v>Merrile Cobbledick</v>
      </c>
      <c r="G915" s="9" t="str">
        <f>IF(_xlfn.XLOOKUP(orders!C915,customers!$A$2:$A$1001,customers!$C$2:$C$1001,,,)=0,"",_xlfn.XLOOKUP(orders!C915,customers!$A$2:$A$1001,customers!$C$2:$C$1001,,,))</f>
        <v>mcobbledickpd@ucsd.edu</v>
      </c>
      <c r="H915" s="9" t="str">
        <f>_xlfn.XLOOKUP(C915,customers!$A$2:$A$1001,customers!$G$2:$G$1001,"")</f>
        <v>United States</v>
      </c>
      <c r="I915" s="10" t="str">
        <f>INDEX(products!$A$2:$G$49,MATCH(orders!$D915,products!$A$2:$A$49,0),MATCH(orders!I$1,products!$A$1:$G$1,0))</f>
        <v>Ara</v>
      </c>
      <c r="J915" s="10" t="str">
        <f>INDEX(products!$A$2:$G$49,MATCH(orders!$D915,products!$A$2:$A$49,0),MATCH(orders!J$1,products!$A$1:$G$1,0))</f>
        <v>M</v>
      </c>
      <c r="K915" s="11">
        <f>INDEX(products!$A$2:$G$49,MATCH(orders!$D915,products!$A$2:$A$49,0),MATCH(orders!K$1,products!$A$1:$G$1,0))</f>
        <v>0.5</v>
      </c>
      <c r="L915" s="12">
        <f>INDEX(products!$A$2:$G$49,MATCH(orders!$D915,products!$A$2:$A$49,0),MATCH(orders!L$1,products!$A$1:$G$1,0))</f>
        <v>6.75</v>
      </c>
      <c r="M915" s="12">
        <f t="shared" si="42"/>
        <v>6.75</v>
      </c>
      <c r="N915" s="10" t="str">
        <f t="shared" si="43"/>
        <v>Arabica</v>
      </c>
      <c r="O915" s="10" t="str">
        <f t="shared" si="44"/>
        <v>Medium</v>
      </c>
      <c r="P915" s="10" t="str">
        <f>_xlfn.XLOOKUP(Tableau1[[#This Row],[Customer ID]],customers!A$2:A$1001,customers!I$2:I$1001)</f>
        <v>No</v>
      </c>
    </row>
    <row r="916" spans="1:16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9" t="str">
        <f>_xlfn.XLOOKUP(orders!C916,customers!$A$2:$A$1001,customers!$B$2:$B$1001)</f>
        <v>Antonius Lewry</v>
      </c>
      <c r="G916" s="9" t="str">
        <f>IF(_xlfn.XLOOKUP(orders!C916,customers!$A$2:$A$1001,customers!$C$2:$C$1001,,,)=0,"",_xlfn.XLOOKUP(orders!C916,customers!$A$2:$A$1001,customers!$C$2:$C$1001,,,))</f>
        <v>alewrype@whitehouse.gov</v>
      </c>
      <c r="H916" s="9" t="str">
        <f>_xlfn.XLOOKUP(C916,customers!$A$2:$A$1001,customers!$G$2:$G$1001,"")</f>
        <v>United States</v>
      </c>
      <c r="I916" s="10" t="str">
        <f>INDEX(products!$A$2:$G$49,MATCH(orders!$D916,products!$A$2:$A$49,0),MATCH(orders!I$1,products!$A$1:$G$1,0))</f>
        <v>Ara</v>
      </c>
      <c r="J916" s="10" t="str">
        <f>INDEX(products!$A$2:$G$49,MATCH(orders!$D916,products!$A$2:$A$49,0),MATCH(orders!J$1,products!$A$1:$G$1,0))</f>
        <v>M</v>
      </c>
      <c r="K916" s="11">
        <f>INDEX(products!$A$2:$G$49,MATCH(orders!$D916,products!$A$2:$A$49,0),MATCH(orders!K$1,products!$A$1:$G$1,0))</f>
        <v>1</v>
      </c>
      <c r="L916" s="12">
        <f>INDEX(products!$A$2:$G$49,MATCH(orders!$D916,products!$A$2:$A$49,0),MATCH(orders!L$1,products!$A$1:$G$1,0))</f>
        <v>11.25</v>
      </c>
      <c r="M916" s="12">
        <f t="shared" si="42"/>
        <v>45</v>
      </c>
      <c r="N916" s="10" t="str">
        <f t="shared" si="43"/>
        <v>Arabica</v>
      </c>
      <c r="O916" s="10" t="str">
        <f t="shared" si="44"/>
        <v>Medium</v>
      </c>
      <c r="P916" s="10" t="str">
        <f>_xlfn.XLOOKUP(Tableau1[[#This Row],[Customer ID]],customers!A$2:A$1001,customers!I$2:I$1001)</f>
        <v>No</v>
      </c>
    </row>
    <row r="917" spans="1:16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9" t="str">
        <f>_xlfn.XLOOKUP(orders!C917,customers!$A$2:$A$1001,customers!$B$2:$B$1001)</f>
        <v>Isis Hessel</v>
      </c>
      <c r="G917" s="9" t="str">
        <f>IF(_xlfn.XLOOKUP(orders!C917,customers!$A$2:$A$1001,customers!$C$2:$C$1001,,,)=0,"",_xlfn.XLOOKUP(orders!C917,customers!$A$2:$A$1001,customers!$C$2:$C$1001,,,))</f>
        <v>ihesselpf@ox.ac.uk</v>
      </c>
      <c r="H917" s="9" t="str">
        <f>_xlfn.XLOOKUP(C917,customers!$A$2:$A$1001,customers!$G$2:$G$1001,"")</f>
        <v>United States</v>
      </c>
      <c r="I917" s="10" t="str">
        <f>INDEX(products!$A$2:$G$49,MATCH(orders!$D917,products!$A$2:$A$49,0),MATCH(orders!I$1,products!$A$1:$G$1,0))</f>
        <v>Exc</v>
      </c>
      <c r="J917" s="10" t="str">
        <f>INDEX(products!$A$2:$G$49,MATCH(orders!$D917,products!$A$2:$A$49,0),MATCH(orders!J$1,products!$A$1:$G$1,0))</f>
        <v>D</v>
      </c>
      <c r="K917" s="11">
        <f>INDEX(products!$A$2:$G$49,MATCH(orders!$D917,products!$A$2:$A$49,0),MATCH(orders!K$1,products!$A$1:$G$1,0))</f>
        <v>2.5</v>
      </c>
      <c r="L917" s="12">
        <f>INDEX(products!$A$2:$G$49,MATCH(orders!$D917,products!$A$2:$A$49,0),MATCH(orders!L$1,products!$A$1:$G$1,0))</f>
        <v>27.945</v>
      </c>
      <c r="M917" s="12">
        <f t="shared" si="42"/>
        <v>83.835000000000008</v>
      </c>
      <c r="N917" s="10" t="str">
        <f t="shared" si="43"/>
        <v>Excelsa</v>
      </c>
      <c r="O917" s="10" t="str">
        <f t="shared" si="44"/>
        <v>Dark</v>
      </c>
      <c r="P917" s="10" t="str">
        <f>_xlfn.XLOOKUP(Tableau1[[#This Row],[Customer ID]],customers!A$2:A$1001,customers!I$2:I$1001)</f>
        <v>Yes</v>
      </c>
    </row>
    <row r="918" spans="1:16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9" t="str">
        <f>_xlfn.XLOOKUP(orders!C918,customers!$A$2:$A$1001,customers!$B$2:$B$1001)</f>
        <v>Harland Trematick</v>
      </c>
      <c r="G918" s="9" t="str">
        <f>IF(_xlfn.XLOOKUP(orders!C918,customers!$A$2:$A$1001,customers!$C$2:$C$1001,,,)=0,"",_xlfn.XLOOKUP(orders!C918,customers!$A$2:$A$1001,customers!$C$2:$C$1001,,,))</f>
        <v/>
      </c>
      <c r="H918" s="9" t="str">
        <f>_xlfn.XLOOKUP(C918,customers!$A$2:$A$1001,customers!$G$2:$G$1001,"")</f>
        <v>Ireland</v>
      </c>
      <c r="I918" s="10" t="str">
        <f>INDEX(products!$A$2:$G$49,MATCH(orders!$D918,products!$A$2:$A$49,0),MATCH(orders!I$1,products!$A$1:$G$1,0))</f>
        <v>Exc</v>
      </c>
      <c r="J918" s="10" t="str">
        <f>INDEX(products!$A$2:$G$49,MATCH(orders!$D918,products!$A$2:$A$49,0),MATCH(orders!J$1,products!$A$1:$G$1,0))</f>
        <v>D</v>
      </c>
      <c r="K918" s="11">
        <f>INDEX(products!$A$2:$G$49,MATCH(orders!$D918,products!$A$2:$A$49,0),MATCH(orders!K$1,products!$A$1:$G$1,0))</f>
        <v>0.2</v>
      </c>
      <c r="L918" s="12">
        <f>INDEX(products!$A$2:$G$49,MATCH(orders!$D918,products!$A$2:$A$49,0),MATCH(orders!L$1,products!$A$1:$G$1,0))</f>
        <v>3.645</v>
      </c>
      <c r="M918" s="12">
        <f t="shared" si="42"/>
        <v>3.645</v>
      </c>
      <c r="N918" s="10" t="str">
        <f t="shared" si="43"/>
        <v>Excelsa</v>
      </c>
      <c r="O918" s="10" t="str">
        <f t="shared" si="44"/>
        <v>Dark</v>
      </c>
      <c r="P918" s="10" t="str">
        <f>_xlfn.XLOOKUP(Tableau1[[#This Row],[Customer ID]],customers!A$2:A$1001,customers!I$2:I$1001)</f>
        <v>Yes</v>
      </c>
    </row>
    <row r="919" spans="1:16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9" t="str">
        <f>_xlfn.XLOOKUP(orders!C919,customers!$A$2:$A$1001,customers!$B$2:$B$1001)</f>
        <v>Chloris Sorrell</v>
      </c>
      <c r="G919" s="9" t="str">
        <f>IF(_xlfn.XLOOKUP(orders!C919,customers!$A$2:$A$1001,customers!$C$2:$C$1001,,,)=0,"",_xlfn.XLOOKUP(orders!C919,customers!$A$2:$A$1001,customers!$C$2:$C$1001,,,))</f>
        <v>csorrellph@amazon.com</v>
      </c>
      <c r="H919" s="9" t="str">
        <f>_xlfn.XLOOKUP(C919,customers!$A$2:$A$1001,customers!$G$2:$G$1001,"")</f>
        <v>United Kingdom</v>
      </c>
      <c r="I919" s="10" t="str">
        <f>INDEX(products!$A$2:$G$49,MATCH(orders!$D919,products!$A$2:$A$49,0),MATCH(orders!I$1,products!$A$1:$G$1,0))</f>
        <v>Ara</v>
      </c>
      <c r="J919" s="10" t="str">
        <f>INDEX(products!$A$2:$G$49,MATCH(orders!$D919,products!$A$2:$A$49,0),MATCH(orders!J$1,products!$A$1:$G$1,0))</f>
        <v>M</v>
      </c>
      <c r="K919" s="11">
        <f>INDEX(products!$A$2:$G$49,MATCH(orders!$D919,products!$A$2:$A$49,0),MATCH(orders!K$1,products!$A$1:$G$1,0))</f>
        <v>0.5</v>
      </c>
      <c r="L919" s="12">
        <f>INDEX(products!$A$2:$G$49,MATCH(orders!$D919,products!$A$2:$A$49,0),MATCH(orders!L$1,products!$A$1:$G$1,0))</f>
        <v>6.75</v>
      </c>
      <c r="M919" s="12">
        <f t="shared" si="42"/>
        <v>6.75</v>
      </c>
      <c r="N919" s="10" t="str">
        <f t="shared" si="43"/>
        <v>Arabica</v>
      </c>
      <c r="O919" s="10" t="str">
        <f t="shared" si="44"/>
        <v>Medium</v>
      </c>
      <c r="P919" s="10" t="str">
        <f>_xlfn.XLOOKUP(Tableau1[[#This Row],[Customer ID]],customers!A$2:A$1001,customers!I$2:I$1001)</f>
        <v>No</v>
      </c>
    </row>
    <row r="920" spans="1:16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9" t="str">
        <f>_xlfn.XLOOKUP(orders!C920,customers!$A$2:$A$1001,customers!$B$2:$B$1001)</f>
        <v>Chloris Sorrell</v>
      </c>
      <c r="G920" s="9" t="str">
        <f>IF(_xlfn.XLOOKUP(orders!C920,customers!$A$2:$A$1001,customers!$C$2:$C$1001,,,)=0,"",_xlfn.XLOOKUP(orders!C920,customers!$A$2:$A$1001,customers!$C$2:$C$1001,,,))</f>
        <v>csorrellph@amazon.com</v>
      </c>
      <c r="H920" s="9" t="str">
        <f>_xlfn.XLOOKUP(C920,customers!$A$2:$A$1001,customers!$G$2:$G$1001,"")</f>
        <v>United Kingdom</v>
      </c>
      <c r="I920" s="10" t="str">
        <f>INDEX(products!$A$2:$G$49,MATCH(orders!$D920,products!$A$2:$A$49,0),MATCH(orders!I$1,products!$A$1:$G$1,0))</f>
        <v>Exc</v>
      </c>
      <c r="J920" s="10" t="str">
        <f>INDEX(products!$A$2:$G$49,MATCH(orders!$D920,products!$A$2:$A$49,0),MATCH(orders!J$1,products!$A$1:$G$1,0))</f>
        <v>D</v>
      </c>
      <c r="K920" s="11">
        <f>INDEX(products!$A$2:$G$49,MATCH(orders!$D920,products!$A$2:$A$49,0),MATCH(orders!K$1,products!$A$1:$G$1,0))</f>
        <v>0.5</v>
      </c>
      <c r="L920" s="12">
        <f>INDEX(products!$A$2:$G$49,MATCH(orders!$D920,products!$A$2:$A$49,0),MATCH(orders!L$1,products!$A$1:$G$1,0))</f>
        <v>7.29</v>
      </c>
      <c r="M920" s="12">
        <f t="shared" si="42"/>
        <v>21.87</v>
      </c>
      <c r="N920" s="10" t="str">
        <f t="shared" si="43"/>
        <v>Excelsa</v>
      </c>
      <c r="O920" s="10" t="str">
        <f t="shared" si="44"/>
        <v>Dark</v>
      </c>
      <c r="P920" s="10" t="str">
        <f>_xlfn.XLOOKUP(Tableau1[[#This Row],[Customer ID]],customers!A$2:A$1001,customers!I$2:I$1001)</f>
        <v>No</v>
      </c>
    </row>
    <row r="921" spans="1:16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9" t="str">
        <f>_xlfn.XLOOKUP(orders!C921,customers!$A$2:$A$1001,customers!$B$2:$B$1001)</f>
        <v>Quintina Heavyside</v>
      </c>
      <c r="G921" s="9" t="str">
        <f>IF(_xlfn.XLOOKUP(orders!C921,customers!$A$2:$A$1001,customers!$C$2:$C$1001,,,)=0,"",_xlfn.XLOOKUP(orders!C921,customers!$A$2:$A$1001,customers!$C$2:$C$1001,,,))</f>
        <v>qheavysidepj@unc.edu</v>
      </c>
      <c r="H921" s="9" t="str">
        <f>_xlfn.XLOOKUP(C921,customers!$A$2:$A$1001,customers!$G$2:$G$1001,"")</f>
        <v>United States</v>
      </c>
      <c r="I921" s="10" t="str">
        <f>INDEX(products!$A$2:$G$49,MATCH(orders!$D921,products!$A$2:$A$49,0),MATCH(orders!I$1,products!$A$1:$G$1,0))</f>
        <v>Rob</v>
      </c>
      <c r="J921" s="10" t="str">
        <f>INDEX(products!$A$2:$G$49,MATCH(orders!$D921,products!$A$2:$A$49,0),MATCH(orders!J$1,products!$A$1:$G$1,0))</f>
        <v>D</v>
      </c>
      <c r="K921" s="11">
        <f>INDEX(products!$A$2:$G$49,MATCH(orders!$D921,products!$A$2:$A$49,0),MATCH(orders!K$1,products!$A$1:$G$1,0))</f>
        <v>0.2</v>
      </c>
      <c r="L921" s="12">
        <f>INDEX(products!$A$2:$G$49,MATCH(orders!$D921,products!$A$2:$A$49,0),MATCH(orders!L$1,products!$A$1:$G$1,0))</f>
        <v>2.6849999999999996</v>
      </c>
      <c r="M921" s="12">
        <f t="shared" si="42"/>
        <v>13.424999999999997</v>
      </c>
      <c r="N921" s="10" t="str">
        <f t="shared" si="43"/>
        <v>Robusta</v>
      </c>
      <c r="O921" s="10" t="str">
        <f t="shared" si="44"/>
        <v>Dark</v>
      </c>
      <c r="P921" s="10" t="str">
        <f>_xlfn.XLOOKUP(Tableau1[[#This Row],[Customer ID]],customers!A$2:A$1001,customers!I$2:I$1001)</f>
        <v>Yes</v>
      </c>
    </row>
    <row r="922" spans="1:16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9" t="str">
        <f>_xlfn.XLOOKUP(orders!C922,customers!$A$2:$A$1001,customers!$B$2:$B$1001)</f>
        <v>Hadley Reuven</v>
      </c>
      <c r="G922" s="9" t="str">
        <f>IF(_xlfn.XLOOKUP(orders!C922,customers!$A$2:$A$1001,customers!$C$2:$C$1001,,,)=0,"",_xlfn.XLOOKUP(orders!C922,customers!$A$2:$A$1001,customers!$C$2:$C$1001,,,))</f>
        <v>hreuvenpk@whitehouse.gov</v>
      </c>
      <c r="H922" s="9" t="str">
        <f>_xlfn.XLOOKUP(C922,customers!$A$2:$A$1001,customers!$G$2:$G$1001,"")</f>
        <v>United States</v>
      </c>
      <c r="I922" s="10" t="str">
        <f>INDEX(products!$A$2:$G$49,MATCH(orders!$D922,products!$A$2:$A$49,0),MATCH(orders!I$1,products!$A$1:$G$1,0))</f>
        <v>Rob</v>
      </c>
      <c r="J922" s="10" t="str">
        <f>INDEX(products!$A$2:$G$49,MATCH(orders!$D922,products!$A$2:$A$49,0),MATCH(orders!J$1,products!$A$1:$G$1,0))</f>
        <v>D</v>
      </c>
      <c r="K922" s="11">
        <f>INDEX(products!$A$2:$G$49,MATCH(orders!$D922,products!$A$2:$A$49,0),MATCH(orders!K$1,products!$A$1:$G$1,0))</f>
        <v>2.5</v>
      </c>
      <c r="L922" s="12">
        <f>INDEX(products!$A$2:$G$49,MATCH(orders!$D922,products!$A$2:$A$49,0),MATCH(orders!L$1,products!$A$1:$G$1,0))</f>
        <v>20.584999999999997</v>
      </c>
      <c r="M922" s="12">
        <f t="shared" si="42"/>
        <v>123.50999999999999</v>
      </c>
      <c r="N922" s="10" t="str">
        <f t="shared" si="43"/>
        <v>Robusta</v>
      </c>
      <c r="O922" s="10" t="str">
        <f t="shared" si="44"/>
        <v>Dark</v>
      </c>
      <c r="P922" s="10" t="str">
        <f>_xlfn.XLOOKUP(Tableau1[[#This Row],[Customer ID]],customers!A$2:A$1001,customers!I$2:I$1001)</f>
        <v>No</v>
      </c>
    </row>
    <row r="923" spans="1:16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9" t="str">
        <f>_xlfn.XLOOKUP(orders!C923,customers!$A$2:$A$1001,customers!$B$2:$B$1001)</f>
        <v>Mitch Attwool</v>
      </c>
      <c r="G923" s="9" t="str">
        <f>IF(_xlfn.XLOOKUP(orders!C923,customers!$A$2:$A$1001,customers!$C$2:$C$1001,,,)=0,"",_xlfn.XLOOKUP(orders!C923,customers!$A$2:$A$1001,customers!$C$2:$C$1001,,,))</f>
        <v>mattwoolpl@nba.com</v>
      </c>
      <c r="H923" s="9" t="str">
        <f>_xlfn.XLOOKUP(C923,customers!$A$2:$A$1001,customers!$G$2:$G$1001,"")</f>
        <v>United States</v>
      </c>
      <c r="I923" s="10" t="str">
        <f>INDEX(products!$A$2:$G$49,MATCH(orders!$D923,products!$A$2:$A$49,0),MATCH(orders!I$1,products!$A$1:$G$1,0))</f>
        <v>Lib</v>
      </c>
      <c r="J923" s="10" t="str">
        <f>INDEX(products!$A$2:$G$49,MATCH(orders!$D923,products!$A$2:$A$49,0),MATCH(orders!J$1,products!$A$1:$G$1,0))</f>
        <v>D</v>
      </c>
      <c r="K923" s="11">
        <f>INDEX(products!$A$2:$G$49,MATCH(orders!$D923,products!$A$2:$A$49,0),MATCH(orders!K$1,products!$A$1:$G$1,0))</f>
        <v>0.2</v>
      </c>
      <c r="L923" s="12">
        <f>INDEX(products!$A$2:$G$49,MATCH(orders!$D923,products!$A$2:$A$49,0),MATCH(orders!L$1,products!$A$1:$G$1,0))</f>
        <v>3.8849999999999998</v>
      </c>
      <c r="M923" s="12">
        <f t="shared" si="42"/>
        <v>7.77</v>
      </c>
      <c r="N923" s="10" t="str">
        <f t="shared" si="43"/>
        <v>Liberica</v>
      </c>
      <c r="O923" s="10" t="str">
        <f t="shared" si="44"/>
        <v>Dark</v>
      </c>
      <c r="P923" s="10" t="str">
        <f>_xlfn.XLOOKUP(Tableau1[[#This Row],[Customer ID]],customers!A$2:A$1001,customers!I$2:I$1001)</f>
        <v>No</v>
      </c>
    </row>
    <row r="924" spans="1:16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9" t="str">
        <f>_xlfn.XLOOKUP(orders!C924,customers!$A$2:$A$1001,customers!$B$2:$B$1001)</f>
        <v>Charin Maplethorp</v>
      </c>
      <c r="G924" s="9" t="str">
        <f>IF(_xlfn.XLOOKUP(orders!C924,customers!$A$2:$A$1001,customers!$C$2:$C$1001,,,)=0,"",_xlfn.XLOOKUP(orders!C924,customers!$A$2:$A$1001,customers!$C$2:$C$1001,,,))</f>
        <v/>
      </c>
      <c r="H924" s="9" t="str">
        <f>_xlfn.XLOOKUP(C924,customers!$A$2:$A$1001,customers!$G$2:$G$1001,"")</f>
        <v>United States</v>
      </c>
      <c r="I924" s="10" t="str">
        <f>INDEX(products!$A$2:$G$49,MATCH(orders!$D924,products!$A$2:$A$49,0),MATCH(orders!I$1,products!$A$1:$G$1,0))</f>
        <v>Ara</v>
      </c>
      <c r="J924" s="10" t="str">
        <f>INDEX(products!$A$2:$G$49,MATCH(orders!$D924,products!$A$2:$A$49,0),MATCH(orders!J$1,products!$A$1:$G$1,0))</f>
        <v>M</v>
      </c>
      <c r="K924" s="11">
        <f>INDEX(products!$A$2:$G$49,MATCH(orders!$D924,products!$A$2:$A$49,0),MATCH(orders!K$1,products!$A$1:$G$1,0))</f>
        <v>1</v>
      </c>
      <c r="L924" s="12">
        <f>INDEX(products!$A$2:$G$49,MATCH(orders!$D924,products!$A$2:$A$49,0),MATCH(orders!L$1,products!$A$1:$G$1,0))</f>
        <v>11.25</v>
      </c>
      <c r="M924" s="12">
        <f t="shared" si="42"/>
        <v>67.5</v>
      </c>
      <c r="N924" s="10" t="str">
        <f t="shared" si="43"/>
        <v>Arabica</v>
      </c>
      <c r="O924" s="10" t="str">
        <f t="shared" si="44"/>
        <v>Medium</v>
      </c>
      <c r="P924" s="10" t="str">
        <f>_xlfn.XLOOKUP(Tableau1[[#This Row],[Customer ID]],customers!A$2:A$1001,customers!I$2:I$1001)</f>
        <v>Yes</v>
      </c>
    </row>
    <row r="925" spans="1:16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9" t="str">
        <f>_xlfn.XLOOKUP(orders!C925,customers!$A$2:$A$1001,customers!$B$2:$B$1001)</f>
        <v>Goldie Wynes</v>
      </c>
      <c r="G925" s="9" t="str">
        <f>IF(_xlfn.XLOOKUP(orders!C925,customers!$A$2:$A$1001,customers!$C$2:$C$1001,,,)=0,"",_xlfn.XLOOKUP(orders!C925,customers!$A$2:$A$1001,customers!$C$2:$C$1001,,,))</f>
        <v>gwynespn@dagondesign.com</v>
      </c>
      <c r="H925" s="9" t="str">
        <f>_xlfn.XLOOKUP(C925,customers!$A$2:$A$1001,customers!$G$2:$G$1001,"")</f>
        <v>United States</v>
      </c>
      <c r="I925" s="10" t="str">
        <f>INDEX(products!$A$2:$G$49,MATCH(orders!$D925,products!$A$2:$A$49,0),MATCH(orders!I$1,products!$A$1:$G$1,0))</f>
        <v>Exc</v>
      </c>
      <c r="J925" s="10" t="str">
        <f>INDEX(products!$A$2:$G$49,MATCH(orders!$D925,products!$A$2:$A$49,0),MATCH(orders!J$1,products!$A$1:$G$1,0))</f>
        <v>D</v>
      </c>
      <c r="K925" s="11">
        <f>INDEX(products!$A$2:$G$49,MATCH(orders!$D925,products!$A$2:$A$49,0),MATCH(orders!K$1,products!$A$1:$G$1,0))</f>
        <v>2.5</v>
      </c>
      <c r="L925" s="12">
        <f>INDEX(products!$A$2:$G$49,MATCH(orders!$D925,products!$A$2:$A$49,0),MATCH(orders!L$1,products!$A$1:$G$1,0))</f>
        <v>27.945</v>
      </c>
      <c r="M925" s="12">
        <f t="shared" si="42"/>
        <v>27.945</v>
      </c>
      <c r="N925" s="10" t="str">
        <f t="shared" si="43"/>
        <v>Excelsa</v>
      </c>
      <c r="O925" s="10" t="str">
        <f t="shared" si="44"/>
        <v>Dark</v>
      </c>
      <c r="P925" s="10" t="str">
        <f>_xlfn.XLOOKUP(Tableau1[[#This Row],[Customer ID]],customers!A$2:A$1001,customers!I$2:I$1001)</f>
        <v>No</v>
      </c>
    </row>
    <row r="926" spans="1:16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9" t="str">
        <f>_xlfn.XLOOKUP(orders!C926,customers!$A$2:$A$1001,customers!$B$2:$B$1001)</f>
        <v>Celie MacCourt</v>
      </c>
      <c r="G926" s="9" t="str">
        <f>IF(_xlfn.XLOOKUP(orders!C926,customers!$A$2:$A$1001,customers!$C$2:$C$1001,,,)=0,"",_xlfn.XLOOKUP(orders!C926,customers!$A$2:$A$1001,customers!$C$2:$C$1001,,,))</f>
        <v>cmaccourtpo@amazon.com</v>
      </c>
      <c r="H926" s="9" t="str">
        <f>_xlfn.XLOOKUP(C926,customers!$A$2:$A$1001,customers!$G$2:$G$1001,"")</f>
        <v>United States</v>
      </c>
      <c r="I926" s="10" t="str">
        <f>INDEX(products!$A$2:$G$49,MATCH(orders!$D926,products!$A$2:$A$49,0),MATCH(orders!I$1,products!$A$1:$G$1,0))</f>
        <v>Ara</v>
      </c>
      <c r="J926" s="10" t="str">
        <f>INDEX(products!$A$2:$G$49,MATCH(orders!$D926,products!$A$2:$A$49,0),MATCH(orders!J$1,products!$A$1:$G$1,0))</f>
        <v>L</v>
      </c>
      <c r="K926" s="11">
        <f>INDEX(products!$A$2:$G$49,MATCH(orders!$D926,products!$A$2:$A$49,0),MATCH(orders!K$1,products!$A$1:$G$1,0))</f>
        <v>2.5</v>
      </c>
      <c r="L926" s="12">
        <f>INDEX(products!$A$2:$G$49,MATCH(orders!$D926,products!$A$2:$A$49,0),MATCH(orders!L$1,products!$A$1:$G$1,0))</f>
        <v>29.784999999999997</v>
      </c>
      <c r="M926" s="12">
        <f t="shared" si="42"/>
        <v>89.35499999999999</v>
      </c>
      <c r="N926" s="10" t="str">
        <f t="shared" si="43"/>
        <v>Arabica</v>
      </c>
      <c r="O926" s="10" t="str">
        <f t="shared" si="44"/>
        <v>Light</v>
      </c>
      <c r="P926" s="10" t="str">
        <f>_xlfn.XLOOKUP(Tableau1[[#This Row],[Customer ID]],customers!A$2:A$1001,customers!I$2:I$1001)</f>
        <v>No</v>
      </c>
    </row>
    <row r="927" spans="1:16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9" t="str">
        <f>_xlfn.XLOOKUP(orders!C927,customers!$A$2:$A$1001,customers!$B$2:$B$1001)</f>
        <v>Derick Snow</v>
      </c>
      <c r="G927" s="9" t="str">
        <f>IF(_xlfn.XLOOKUP(orders!C927,customers!$A$2:$A$1001,customers!$C$2:$C$1001,,,)=0,"",_xlfn.XLOOKUP(orders!C927,customers!$A$2:$A$1001,customers!$C$2:$C$1001,,,))</f>
        <v/>
      </c>
      <c r="H927" s="9" t="str">
        <f>_xlfn.XLOOKUP(C927,customers!$A$2:$A$1001,customers!$G$2:$G$1001,"")</f>
        <v>United States</v>
      </c>
      <c r="I927" s="10" t="str">
        <f>INDEX(products!$A$2:$G$49,MATCH(orders!$D927,products!$A$2:$A$49,0),MATCH(orders!I$1,products!$A$1:$G$1,0))</f>
        <v>Ara</v>
      </c>
      <c r="J927" s="10" t="str">
        <f>INDEX(products!$A$2:$G$49,MATCH(orders!$D927,products!$A$2:$A$49,0),MATCH(orders!J$1,products!$A$1:$G$1,0))</f>
        <v>M</v>
      </c>
      <c r="K927" s="11">
        <f>INDEX(products!$A$2:$G$49,MATCH(orders!$D927,products!$A$2:$A$49,0),MATCH(orders!K$1,products!$A$1:$G$1,0))</f>
        <v>0.5</v>
      </c>
      <c r="L927" s="12">
        <f>INDEX(products!$A$2:$G$49,MATCH(orders!$D927,products!$A$2:$A$49,0),MATCH(orders!L$1,products!$A$1:$G$1,0))</f>
        <v>6.75</v>
      </c>
      <c r="M927" s="12">
        <f t="shared" si="42"/>
        <v>20.25</v>
      </c>
      <c r="N927" s="10" t="str">
        <f t="shared" si="43"/>
        <v>Arabica</v>
      </c>
      <c r="O927" s="10" t="str">
        <f t="shared" si="44"/>
        <v>Medium</v>
      </c>
      <c r="P927" s="10" t="str">
        <f>_xlfn.XLOOKUP(Tableau1[[#This Row],[Customer ID]],customers!A$2:A$1001,customers!I$2:I$1001)</f>
        <v>No</v>
      </c>
    </row>
    <row r="928" spans="1:16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9" t="str">
        <f>_xlfn.XLOOKUP(orders!C928,customers!$A$2:$A$1001,customers!$B$2:$B$1001)</f>
        <v>Evy Wilsone</v>
      </c>
      <c r="G928" s="9" t="str">
        <f>IF(_xlfn.XLOOKUP(orders!C928,customers!$A$2:$A$1001,customers!$C$2:$C$1001,,,)=0,"",_xlfn.XLOOKUP(orders!C928,customers!$A$2:$A$1001,customers!$C$2:$C$1001,,,))</f>
        <v>ewilsonepq@eepurl.com</v>
      </c>
      <c r="H928" s="9" t="str">
        <f>_xlfn.XLOOKUP(C928,customers!$A$2:$A$1001,customers!$G$2:$G$1001,"")</f>
        <v>United States</v>
      </c>
      <c r="I928" s="10" t="str">
        <f>INDEX(products!$A$2:$G$49,MATCH(orders!$D928,products!$A$2:$A$49,0),MATCH(orders!I$1,products!$A$1:$G$1,0))</f>
        <v>Ara</v>
      </c>
      <c r="J928" s="10" t="str">
        <f>INDEX(products!$A$2:$G$49,MATCH(orders!$D928,products!$A$2:$A$49,0),MATCH(orders!J$1,products!$A$1:$G$1,0))</f>
        <v>M</v>
      </c>
      <c r="K928" s="11">
        <f>INDEX(products!$A$2:$G$49,MATCH(orders!$D928,products!$A$2:$A$49,0),MATCH(orders!K$1,products!$A$1:$G$1,0))</f>
        <v>0.5</v>
      </c>
      <c r="L928" s="12">
        <f>INDEX(products!$A$2:$G$49,MATCH(orders!$D928,products!$A$2:$A$49,0),MATCH(orders!L$1,products!$A$1:$G$1,0))</f>
        <v>6.75</v>
      </c>
      <c r="M928" s="12">
        <f t="shared" si="42"/>
        <v>33.75</v>
      </c>
      <c r="N928" s="10" t="str">
        <f t="shared" si="43"/>
        <v>Arabica</v>
      </c>
      <c r="O928" s="10" t="str">
        <f t="shared" si="44"/>
        <v>Medium</v>
      </c>
      <c r="P928" s="10" t="str">
        <f>_xlfn.XLOOKUP(Tableau1[[#This Row],[Customer ID]],customers!A$2:A$1001,customers!I$2:I$1001)</f>
        <v>Yes</v>
      </c>
    </row>
    <row r="929" spans="1:16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9" t="str">
        <f>_xlfn.XLOOKUP(orders!C929,customers!$A$2:$A$1001,customers!$B$2:$B$1001)</f>
        <v>Dolores Duffie</v>
      </c>
      <c r="G929" s="9" t="str">
        <f>IF(_xlfn.XLOOKUP(orders!C929,customers!$A$2:$A$1001,customers!$C$2:$C$1001,,,)=0,"",_xlfn.XLOOKUP(orders!C929,customers!$A$2:$A$1001,customers!$C$2:$C$1001,,,))</f>
        <v>dduffiepr@time.com</v>
      </c>
      <c r="H929" s="9" t="str">
        <f>_xlfn.XLOOKUP(C929,customers!$A$2:$A$1001,customers!$G$2:$G$1001,"")</f>
        <v>United States</v>
      </c>
      <c r="I929" s="10" t="str">
        <f>INDEX(products!$A$2:$G$49,MATCH(orders!$D929,products!$A$2:$A$49,0),MATCH(orders!I$1,products!$A$1:$G$1,0))</f>
        <v>Exc</v>
      </c>
      <c r="J929" s="10" t="str">
        <f>INDEX(products!$A$2:$G$49,MATCH(orders!$D929,products!$A$2:$A$49,0),MATCH(orders!J$1,products!$A$1:$G$1,0))</f>
        <v>D</v>
      </c>
      <c r="K929" s="11">
        <f>INDEX(products!$A$2:$G$49,MATCH(orders!$D929,products!$A$2:$A$49,0),MATCH(orders!K$1,products!$A$1:$G$1,0))</f>
        <v>2.5</v>
      </c>
      <c r="L929" s="12">
        <f>INDEX(products!$A$2:$G$49,MATCH(orders!$D929,products!$A$2:$A$49,0),MATCH(orders!L$1,products!$A$1:$G$1,0))</f>
        <v>27.945</v>
      </c>
      <c r="M929" s="12">
        <f t="shared" si="42"/>
        <v>111.78</v>
      </c>
      <c r="N929" s="10" t="str">
        <f t="shared" si="43"/>
        <v>Excelsa</v>
      </c>
      <c r="O929" s="10" t="str">
        <f t="shared" si="44"/>
        <v>Dark</v>
      </c>
      <c r="P929" s="10" t="str">
        <f>_xlfn.XLOOKUP(Tableau1[[#This Row],[Customer ID]],customers!A$2:A$1001,customers!I$2:I$1001)</f>
        <v>No</v>
      </c>
    </row>
    <row r="930" spans="1:16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9" t="str">
        <f>_xlfn.XLOOKUP(orders!C930,customers!$A$2:$A$1001,customers!$B$2:$B$1001)</f>
        <v>Mathilda Matiasek</v>
      </c>
      <c r="G930" s="9" t="str">
        <f>IF(_xlfn.XLOOKUP(orders!C930,customers!$A$2:$A$1001,customers!$C$2:$C$1001,,,)=0,"",_xlfn.XLOOKUP(orders!C930,customers!$A$2:$A$1001,customers!$C$2:$C$1001,,,))</f>
        <v>mmatiasekps@ucoz.ru</v>
      </c>
      <c r="H930" s="9" t="str">
        <f>_xlfn.XLOOKUP(C930,customers!$A$2:$A$1001,customers!$G$2:$G$1001,"")</f>
        <v>United States</v>
      </c>
      <c r="I930" s="10" t="str">
        <f>INDEX(products!$A$2:$G$49,MATCH(orders!$D930,products!$A$2:$A$49,0),MATCH(orders!I$1,products!$A$1:$G$1,0))</f>
        <v>Exc</v>
      </c>
      <c r="J930" s="10" t="str">
        <f>INDEX(products!$A$2:$G$49,MATCH(orders!$D930,products!$A$2:$A$49,0),MATCH(orders!J$1,products!$A$1:$G$1,0))</f>
        <v>M</v>
      </c>
      <c r="K930" s="11">
        <f>INDEX(products!$A$2:$G$49,MATCH(orders!$D930,products!$A$2:$A$49,0),MATCH(orders!K$1,products!$A$1:$G$1,0))</f>
        <v>2.5</v>
      </c>
      <c r="L930" s="12">
        <f>INDEX(products!$A$2:$G$49,MATCH(orders!$D930,products!$A$2:$A$49,0),MATCH(orders!L$1,products!$A$1:$G$1,0))</f>
        <v>31.624999999999996</v>
      </c>
      <c r="M930" s="12">
        <f t="shared" si="42"/>
        <v>63.249999999999993</v>
      </c>
      <c r="N930" s="10" t="str">
        <f t="shared" si="43"/>
        <v>Excelsa</v>
      </c>
      <c r="O930" s="10" t="str">
        <f t="shared" si="44"/>
        <v>Medium</v>
      </c>
      <c r="P930" s="10" t="str">
        <f>_xlfn.XLOOKUP(Tableau1[[#This Row],[Customer ID]],customers!A$2:A$1001,customers!I$2:I$1001)</f>
        <v>Yes</v>
      </c>
    </row>
    <row r="931" spans="1:16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9" t="str">
        <f>_xlfn.XLOOKUP(orders!C931,customers!$A$2:$A$1001,customers!$B$2:$B$1001)</f>
        <v>Jarred Camillo</v>
      </c>
      <c r="G931" s="9" t="str">
        <f>IF(_xlfn.XLOOKUP(orders!C931,customers!$A$2:$A$1001,customers!$C$2:$C$1001,,,)=0,"",_xlfn.XLOOKUP(orders!C931,customers!$A$2:$A$1001,customers!$C$2:$C$1001,,,))</f>
        <v>jcamillopt@shinystat.com</v>
      </c>
      <c r="H931" s="9" t="str">
        <f>_xlfn.XLOOKUP(C931,customers!$A$2:$A$1001,customers!$G$2:$G$1001,"")</f>
        <v>United States</v>
      </c>
      <c r="I931" s="10" t="str">
        <f>INDEX(products!$A$2:$G$49,MATCH(orders!$D931,products!$A$2:$A$49,0),MATCH(orders!I$1,products!$A$1:$G$1,0))</f>
        <v>Exc</v>
      </c>
      <c r="J931" s="10" t="str">
        <f>INDEX(products!$A$2:$G$49,MATCH(orders!$D931,products!$A$2:$A$49,0),MATCH(orders!J$1,products!$A$1:$G$1,0))</f>
        <v>L</v>
      </c>
      <c r="K931" s="11">
        <f>INDEX(products!$A$2:$G$49,MATCH(orders!$D931,products!$A$2:$A$49,0),MATCH(orders!K$1,products!$A$1:$G$1,0))</f>
        <v>0.2</v>
      </c>
      <c r="L931" s="12">
        <f>INDEX(products!$A$2:$G$49,MATCH(orders!$D931,products!$A$2:$A$49,0),MATCH(orders!L$1,products!$A$1:$G$1,0))</f>
        <v>4.4550000000000001</v>
      </c>
      <c r="M931" s="12">
        <f t="shared" si="42"/>
        <v>8.91</v>
      </c>
      <c r="N931" s="10" t="str">
        <f t="shared" si="43"/>
        <v>Excelsa</v>
      </c>
      <c r="O931" s="10" t="str">
        <f t="shared" si="44"/>
        <v>Light</v>
      </c>
      <c r="P931" s="10" t="str">
        <f>_xlfn.XLOOKUP(Tableau1[[#This Row],[Customer ID]],customers!A$2:A$1001,customers!I$2:I$1001)</f>
        <v>Yes</v>
      </c>
    </row>
    <row r="932" spans="1:16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9" t="str">
        <f>_xlfn.XLOOKUP(orders!C932,customers!$A$2:$A$1001,customers!$B$2:$B$1001)</f>
        <v>Kameko Philbrick</v>
      </c>
      <c r="G932" s="9" t="str">
        <f>IF(_xlfn.XLOOKUP(orders!C932,customers!$A$2:$A$1001,customers!$C$2:$C$1001,,,)=0,"",_xlfn.XLOOKUP(orders!C932,customers!$A$2:$A$1001,customers!$C$2:$C$1001,,,))</f>
        <v>kphilbrickpu@cdc.gov</v>
      </c>
      <c r="H932" s="9" t="str">
        <f>_xlfn.XLOOKUP(C932,customers!$A$2:$A$1001,customers!$G$2:$G$1001,"")</f>
        <v>United States</v>
      </c>
      <c r="I932" s="10" t="str">
        <f>INDEX(products!$A$2:$G$49,MATCH(orders!$D932,products!$A$2:$A$49,0),MATCH(orders!I$1,products!$A$1:$G$1,0))</f>
        <v>Exc</v>
      </c>
      <c r="J932" s="10" t="str">
        <f>INDEX(products!$A$2:$G$49,MATCH(orders!$D932,products!$A$2:$A$49,0),MATCH(orders!J$1,products!$A$1:$G$1,0))</f>
        <v>D</v>
      </c>
      <c r="K932" s="11">
        <f>INDEX(products!$A$2:$G$49,MATCH(orders!$D932,products!$A$2:$A$49,0),MATCH(orders!K$1,products!$A$1:$G$1,0))</f>
        <v>1</v>
      </c>
      <c r="L932" s="12">
        <f>INDEX(products!$A$2:$G$49,MATCH(orders!$D932,products!$A$2:$A$49,0),MATCH(orders!L$1,products!$A$1:$G$1,0))</f>
        <v>12.15</v>
      </c>
      <c r="M932" s="12">
        <f t="shared" si="42"/>
        <v>12.15</v>
      </c>
      <c r="N932" s="10" t="str">
        <f t="shared" si="43"/>
        <v>Excelsa</v>
      </c>
      <c r="O932" s="10" t="str">
        <f t="shared" si="44"/>
        <v>Dark</v>
      </c>
      <c r="P932" s="10" t="str">
        <f>_xlfn.XLOOKUP(Tableau1[[#This Row],[Customer ID]],customers!A$2:A$1001,customers!I$2:I$1001)</f>
        <v>Yes</v>
      </c>
    </row>
    <row r="933" spans="1:16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9" t="str">
        <f>_xlfn.XLOOKUP(orders!C933,customers!$A$2:$A$1001,customers!$B$2:$B$1001)</f>
        <v>Mallory Shrimpling</v>
      </c>
      <c r="G933" s="9" t="str">
        <f>IF(_xlfn.XLOOKUP(orders!C933,customers!$A$2:$A$1001,customers!$C$2:$C$1001,,,)=0,"",_xlfn.XLOOKUP(orders!C933,customers!$A$2:$A$1001,customers!$C$2:$C$1001,,,))</f>
        <v/>
      </c>
      <c r="H933" s="9" t="str">
        <f>_xlfn.XLOOKUP(C933,customers!$A$2:$A$1001,customers!$G$2:$G$1001,"")</f>
        <v>United States</v>
      </c>
      <c r="I933" s="10" t="str">
        <f>INDEX(products!$A$2:$G$49,MATCH(orders!$D933,products!$A$2:$A$49,0),MATCH(orders!I$1,products!$A$1:$G$1,0))</f>
        <v>Ara</v>
      </c>
      <c r="J933" s="10" t="str">
        <f>INDEX(products!$A$2:$G$49,MATCH(orders!$D933,products!$A$2:$A$49,0),MATCH(orders!J$1,products!$A$1:$G$1,0))</f>
        <v>D</v>
      </c>
      <c r="K933" s="11">
        <f>INDEX(products!$A$2:$G$49,MATCH(orders!$D933,products!$A$2:$A$49,0),MATCH(orders!K$1,products!$A$1:$G$1,0))</f>
        <v>0.5</v>
      </c>
      <c r="L933" s="12">
        <f>INDEX(products!$A$2:$G$49,MATCH(orders!$D933,products!$A$2:$A$49,0),MATCH(orders!L$1,products!$A$1:$G$1,0))</f>
        <v>5.97</v>
      </c>
      <c r="M933" s="12">
        <f t="shared" si="42"/>
        <v>23.88</v>
      </c>
      <c r="N933" s="10" t="str">
        <f t="shared" si="43"/>
        <v>Arabica</v>
      </c>
      <c r="O933" s="10" t="str">
        <f t="shared" si="44"/>
        <v>Dark</v>
      </c>
      <c r="P933" s="10" t="str">
        <f>_xlfn.XLOOKUP(Tableau1[[#This Row],[Customer ID]],customers!A$2:A$1001,customers!I$2:I$1001)</f>
        <v>Yes</v>
      </c>
    </row>
    <row r="934" spans="1:16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9" t="str">
        <f>_xlfn.XLOOKUP(orders!C934,customers!$A$2:$A$1001,customers!$B$2:$B$1001)</f>
        <v>Barnett Sillis</v>
      </c>
      <c r="G934" s="9" t="str">
        <f>IF(_xlfn.XLOOKUP(orders!C934,customers!$A$2:$A$1001,customers!$C$2:$C$1001,,,)=0,"",_xlfn.XLOOKUP(orders!C934,customers!$A$2:$A$1001,customers!$C$2:$C$1001,,,))</f>
        <v>bsillispw@istockphoto.com</v>
      </c>
      <c r="H934" s="9" t="str">
        <f>_xlfn.XLOOKUP(C934,customers!$A$2:$A$1001,customers!$G$2:$G$1001,"")</f>
        <v>United States</v>
      </c>
      <c r="I934" s="10" t="str">
        <f>INDEX(products!$A$2:$G$49,MATCH(orders!$D934,products!$A$2:$A$49,0),MATCH(orders!I$1,products!$A$1:$G$1,0))</f>
        <v>Exc</v>
      </c>
      <c r="J934" s="10" t="str">
        <f>INDEX(products!$A$2:$G$49,MATCH(orders!$D934,products!$A$2:$A$49,0),MATCH(orders!J$1,products!$A$1:$G$1,0))</f>
        <v>M</v>
      </c>
      <c r="K934" s="11">
        <f>INDEX(products!$A$2:$G$49,MATCH(orders!$D934,products!$A$2:$A$49,0),MATCH(orders!K$1,products!$A$1:$G$1,0))</f>
        <v>1</v>
      </c>
      <c r="L934" s="12">
        <f>INDEX(products!$A$2:$G$49,MATCH(orders!$D934,products!$A$2:$A$49,0),MATCH(orders!L$1,products!$A$1:$G$1,0))</f>
        <v>13.75</v>
      </c>
      <c r="M934" s="12">
        <f t="shared" si="42"/>
        <v>55</v>
      </c>
      <c r="N934" s="10" t="str">
        <f t="shared" si="43"/>
        <v>Excelsa</v>
      </c>
      <c r="O934" s="10" t="str">
        <f t="shared" si="44"/>
        <v>Medium</v>
      </c>
      <c r="P934" s="10" t="str">
        <f>_xlfn.XLOOKUP(Tableau1[[#This Row],[Customer ID]],customers!A$2:A$1001,customers!I$2:I$1001)</f>
        <v>No</v>
      </c>
    </row>
    <row r="935" spans="1:16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9" t="str">
        <f>_xlfn.XLOOKUP(orders!C935,customers!$A$2:$A$1001,customers!$B$2:$B$1001)</f>
        <v>Brenn Dundredge</v>
      </c>
      <c r="G935" s="9" t="str">
        <f>IF(_xlfn.XLOOKUP(orders!C935,customers!$A$2:$A$1001,customers!$C$2:$C$1001,,,)=0,"",_xlfn.XLOOKUP(orders!C935,customers!$A$2:$A$1001,customers!$C$2:$C$1001,,,))</f>
        <v/>
      </c>
      <c r="H935" s="9" t="str">
        <f>_xlfn.XLOOKUP(C935,customers!$A$2:$A$1001,customers!$G$2:$G$1001,"")</f>
        <v>United States</v>
      </c>
      <c r="I935" s="10" t="str">
        <f>INDEX(products!$A$2:$G$49,MATCH(orders!$D935,products!$A$2:$A$49,0),MATCH(orders!I$1,products!$A$1:$G$1,0))</f>
        <v>Rob</v>
      </c>
      <c r="J935" s="10" t="str">
        <f>INDEX(products!$A$2:$G$49,MATCH(orders!$D935,products!$A$2:$A$49,0),MATCH(orders!J$1,products!$A$1:$G$1,0))</f>
        <v>D</v>
      </c>
      <c r="K935" s="11">
        <f>INDEX(products!$A$2:$G$49,MATCH(orders!$D935,products!$A$2:$A$49,0),MATCH(orders!K$1,products!$A$1:$G$1,0))</f>
        <v>1</v>
      </c>
      <c r="L935" s="12">
        <f>INDEX(products!$A$2:$G$49,MATCH(orders!$D935,products!$A$2:$A$49,0),MATCH(orders!L$1,products!$A$1:$G$1,0))</f>
        <v>8.9499999999999993</v>
      </c>
      <c r="M935" s="12">
        <f t="shared" si="42"/>
        <v>26.849999999999998</v>
      </c>
      <c r="N935" s="10" t="str">
        <f t="shared" si="43"/>
        <v>Robusta</v>
      </c>
      <c r="O935" s="10" t="str">
        <f t="shared" si="44"/>
        <v>Dark</v>
      </c>
      <c r="P935" s="10" t="str">
        <f>_xlfn.XLOOKUP(Tableau1[[#This Row],[Customer ID]],customers!A$2:A$1001,customers!I$2:I$1001)</f>
        <v>Yes</v>
      </c>
    </row>
    <row r="936" spans="1:16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9" t="str">
        <f>_xlfn.XLOOKUP(orders!C936,customers!$A$2:$A$1001,customers!$B$2:$B$1001)</f>
        <v>Read Cutts</v>
      </c>
      <c r="G936" s="9" t="str">
        <f>IF(_xlfn.XLOOKUP(orders!C936,customers!$A$2:$A$1001,customers!$C$2:$C$1001,,,)=0,"",_xlfn.XLOOKUP(orders!C936,customers!$A$2:$A$1001,customers!$C$2:$C$1001,,,))</f>
        <v>rcuttspy@techcrunch.com</v>
      </c>
      <c r="H936" s="9" t="str">
        <f>_xlfn.XLOOKUP(C936,customers!$A$2:$A$1001,customers!$G$2:$G$1001,"")</f>
        <v>United States</v>
      </c>
      <c r="I936" s="10" t="str">
        <f>INDEX(products!$A$2:$G$49,MATCH(orders!$D936,products!$A$2:$A$49,0),MATCH(orders!I$1,products!$A$1:$G$1,0))</f>
        <v>Rob</v>
      </c>
      <c r="J936" s="10" t="str">
        <f>INDEX(products!$A$2:$G$49,MATCH(orders!$D936,products!$A$2:$A$49,0),MATCH(orders!J$1,products!$A$1:$G$1,0))</f>
        <v>M</v>
      </c>
      <c r="K936" s="11">
        <f>INDEX(products!$A$2:$G$49,MATCH(orders!$D936,products!$A$2:$A$49,0),MATCH(orders!K$1,products!$A$1:$G$1,0))</f>
        <v>2.5</v>
      </c>
      <c r="L936" s="12">
        <f>INDEX(products!$A$2:$G$49,MATCH(orders!$D936,products!$A$2:$A$49,0),MATCH(orders!L$1,products!$A$1:$G$1,0))</f>
        <v>22.884999999999998</v>
      </c>
      <c r="M936" s="12">
        <f t="shared" si="42"/>
        <v>114.42499999999998</v>
      </c>
      <c r="N936" s="10" t="str">
        <f t="shared" si="43"/>
        <v>Robusta</v>
      </c>
      <c r="O936" s="10" t="str">
        <f t="shared" si="44"/>
        <v>Medium</v>
      </c>
      <c r="P936" s="10" t="str">
        <f>_xlfn.XLOOKUP(Tableau1[[#This Row],[Customer ID]],customers!A$2:A$1001,customers!I$2:I$1001)</f>
        <v>No</v>
      </c>
    </row>
    <row r="937" spans="1:16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9" t="str">
        <f>_xlfn.XLOOKUP(orders!C937,customers!$A$2:$A$1001,customers!$B$2:$B$1001)</f>
        <v>Michale Delves</v>
      </c>
      <c r="G937" s="9" t="str">
        <f>IF(_xlfn.XLOOKUP(orders!C937,customers!$A$2:$A$1001,customers!$C$2:$C$1001,,,)=0,"",_xlfn.XLOOKUP(orders!C937,customers!$A$2:$A$1001,customers!$C$2:$C$1001,,,))</f>
        <v>mdelvespz@nature.com</v>
      </c>
      <c r="H937" s="9" t="str">
        <f>_xlfn.XLOOKUP(C937,customers!$A$2:$A$1001,customers!$G$2:$G$1001,"")</f>
        <v>United States</v>
      </c>
      <c r="I937" s="10" t="str">
        <f>INDEX(products!$A$2:$G$49,MATCH(orders!$D937,products!$A$2:$A$49,0),MATCH(orders!I$1,products!$A$1:$G$1,0))</f>
        <v>Ara</v>
      </c>
      <c r="J937" s="10" t="str">
        <f>INDEX(products!$A$2:$G$49,MATCH(orders!$D937,products!$A$2:$A$49,0),MATCH(orders!J$1,products!$A$1:$G$1,0))</f>
        <v>M</v>
      </c>
      <c r="K937" s="11">
        <f>INDEX(products!$A$2:$G$49,MATCH(orders!$D937,products!$A$2:$A$49,0),MATCH(orders!K$1,products!$A$1:$G$1,0))</f>
        <v>2.5</v>
      </c>
      <c r="L937" s="12">
        <f>INDEX(products!$A$2:$G$49,MATCH(orders!$D937,products!$A$2:$A$49,0),MATCH(orders!L$1,products!$A$1:$G$1,0))</f>
        <v>25.874999999999996</v>
      </c>
      <c r="M937" s="12">
        <f t="shared" si="42"/>
        <v>155.24999999999997</v>
      </c>
      <c r="N937" s="10" t="str">
        <f t="shared" si="43"/>
        <v>Arabica</v>
      </c>
      <c r="O937" s="10" t="str">
        <f t="shared" si="44"/>
        <v>Medium</v>
      </c>
      <c r="P937" s="10" t="str">
        <f>_xlfn.XLOOKUP(Tableau1[[#This Row],[Customer ID]],customers!A$2:A$1001,customers!I$2:I$1001)</f>
        <v>Yes</v>
      </c>
    </row>
    <row r="938" spans="1:16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9" t="str">
        <f>_xlfn.XLOOKUP(orders!C938,customers!$A$2:$A$1001,customers!$B$2:$B$1001)</f>
        <v>Devland Gritton</v>
      </c>
      <c r="G938" s="9" t="str">
        <f>IF(_xlfn.XLOOKUP(orders!C938,customers!$A$2:$A$1001,customers!$C$2:$C$1001,,,)=0,"",_xlfn.XLOOKUP(orders!C938,customers!$A$2:$A$1001,customers!$C$2:$C$1001,,,))</f>
        <v>dgrittonq0@nydailynews.com</v>
      </c>
      <c r="H938" s="9" t="str">
        <f>_xlfn.XLOOKUP(C938,customers!$A$2:$A$1001,customers!$G$2:$G$1001,"")</f>
        <v>United States</v>
      </c>
      <c r="I938" s="10" t="str">
        <f>INDEX(products!$A$2:$G$49,MATCH(orders!$D938,products!$A$2:$A$49,0),MATCH(orders!I$1,products!$A$1:$G$1,0))</f>
        <v>Lib</v>
      </c>
      <c r="J938" s="10" t="str">
        <f>INDEX(products!$A$2:$G$49,MATCH(orders!$D938,products!$A$2:$A$49,0),MATCH(orders!J$1,products!$A$1:$G$1,0))</f>
        <v>D</v>
      </c>
      <c r="K938" s="11">
        <f>INDEX(products!$A$2:$G$49,MATCH(orders!$D938,products!$A$2:$A$49,0),MATCH(orders!K$1,products!$A$1:$G$1,0))</f>
        <v>0.5</v>
      </c>
      <c r="L938" s="12">
        <f>INDEX(products!$A$2:$G$49,MATCH(orders!$D938,products!$A$2:$A$49,0),MATCH(orders!L$1,products!$A$1:$G$1,0))</f>
        <v>7.77</v>
      </c>
      <c r="M938" s="12">
        <f t="shared" si="42"/>
        <v>23.31</v>
      </c>
      <c r="N938" s="10" t="str">
        <f t="shared" si="43"/>
        <v>Liberica</v>
      </c>
      <c r="O938" s="10" t="str">
        <f t="shared" si="44"/>
        <v>Dark</v>
      </c>
      <c r="P938" s="10" t="str">
        <f>_xlfn.XLOOKUP(Tableau1[[#This Row],[Customer ID]],customers!A$2:A$1001,customers!I$2:I$1001)</f>
        <v>Yes</v>
      </c>
    </row>
    <row r="939" spans="1:16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9" t="str">
        <f>_xlfn.XLOOKUP(orders!C939,customers!$A$2:$A$1001,customers!$B$2:$B$1001)</f>
        <v>Devland Gritton</v>
      </c>
      <c r="G939" s="9" t="str">
        <f>IF(_xlfn.XLOOKUP(orders!C939,customers!$A$2:$A$1001,customers!$C$2:$C$1001,,,)=0,"",_xlfn.XLOOKUP(orders!C939,customers!$A$2:$A$1001,customers!$C$2:$C$1001,,,))</f>
        <v>dgrittonq0@nydailynews.com</v>
      </c>
      <c r="H939" s="9" t="str">
        <f>_xlfn.XLOOKUP(C939,customers!$A$2:$A$1001,customers!$G$2:$G$1001,"")</f>
        <v>United States</v>
      </c>
      <c r="I939" s="10" t="str">
        <f>INDEX(products!$A$2:$G$49,MATCH(orders!$D939,products!$A$2:$A$49,0),MATCH(orders!I$1,products!$A$1:$G$1,0))</f>
        <v>Rob</v>
      </c>
      <c r="J939" s="10" t="str">
        <f>INDEX(products!$A$2:$G$49,MATCH(orders!$D939,products!$A$2:$A$49,0),MATCH(orders!J$1,products!$A$1:$G$1,0))</f>
        <v>M</v>
      </c>
      <c r="K939" s="11">
        <f>INDEX(products!$A$2:$G$49,MATCH(orders!$D939,products!$A$2:$A$49,0),MATCH(orders!K$1,products!$A$1:$G$1,0))</f>
        <v>2.5</v>
      </c>
      <c r="L939" s="12">
        <f>INDEX(products!$A$2:$G$49,MATCH(orders!$D939,products!$A$2:$A$49,0),MATCH(orders!L$1,products!$A$1:$G$1,0))</f>
        <v>22.884999999999998</v>
      </c>
      <c r="M939" s="12">
        <f t="shared" si="42"/>
        <v>91.539999999999992</v>
      </c>
      <c r="N939" s="10" t="str">
        <f t="shared" si="43"/>
        <v>Robusta</v>
      </c>
      <c r="O939" s="10" t="str">
        <f t="shared" si="44"/>
        <v>Medium</v>
      </c>
      <c r="P939" s="10" t="str">
        <f>_xlfn.XLOOKUP(Tableau1[[#This Row],[Customer ID]],customers!A$2:A$1001,customers!I$2:I$1001)</f>
        <v>Yes</v>
      </c>
    </row>
    <row r="940" spans="1:16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9" t="str">
        <f>_xlfn.XLOOKUP(orders!C940,customers!$A$2:$A$1001,customers!$B$2:$B$1001)</f>
        <v>Dell Gut</v>
      </c>
      <c r="G940" s="9" t="str">
        <f>IF(_xlfn.XLOOKUP(orders!C940,customers!$A$2:$A$1001,customers!$C$2:$C$1001,,,)=0,"",_xlfn.XLOOKUP(orders!C940,customers!$A$2:$A$1001,customers!$C$2:$C$1001,,,))</f>
        <v>dgutq2@umich.edu</v>
      </c>
      <c r="H940" s="9" t="str">
        <f>_xlfn.XLOOKUP(C940,customers!$A$2:$A$1001,customers!$G$2:$G$1001,"")</f>
        <v>United States</v>
      </c>
      <c r="I940" s="10" t="str">
        <f>INDEX(products!$A$2:$G$49,MATCH(orders!$D940,products!$A$2:$A$49,0),MATCH(orders!I$1,products!$A$1:$G$1,0))</f>
        <v>Exc</v>
      </c>
      <c r="J940" s="10" t="str">
        <f>INDEX(products!$A$2:$G$49,MATCH(orders!$D940,products!$A$2:$A$49,0),MATCH(orders!J$1,products!$A$1:$G$1,0))</f>
        <v>L</v>
      </c>
      <c r="K940" s="11">
        <f>INDEX(products!$A$2:$G$49,MATCH(orders!$D940,products!$A$2:$A$49,0),MATCH(orders!K$1,products!$A$1:$G$1,0))</f>
        <v>1</v>
      </c>
      <c r="L940" s="12">
        <f>INDEX(products!$A$2:$G$49,MATCH(orders!$D940,products!$A$2:$A$49,0),MATCH(orders!L$1,products!$A$1:$G$1,0))</f>
        <v>14.85</v>
      </c>
      <c r="M940" s="12">
        <f t="shared" si="42"/>
        <v>74.25</v>
      </c>
      <c r="N940" s="10" t="str">
        <f t="shared" si="43"/>
        <v>Excelsa</v>
      </c>
      <c r="O940" s="10" t="str">
        <f t="shared" si="44"/>
        <v>Light</v>
      </c>
      <c r="P940" s="10" t="str">
        <f>_xlfn.XLOOKUP(Tableau1[[#This Row],[Customer ID]],customers!A$2:A$1001,customers!I$2:I$1001)</f>
        <v>Yes</v>
      </c>
    </row>
    <row r="941" spans="1:16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9" t="str">
        <f>_xlfn.XLOOKUP(orders!C941,customers!$A$2:$A$1001,customers!$B$2:$B$1001)</f>
        <v>Willy Pummery</v>
      </c>
      <c r="G941" s="9" t="str">
        <f>IF(_xlfn.XLOOKUP(orders!C941,customers!$A$2:$A$1001,customers!$C$2:$C$1001,,,)=0,"",_xlfn.XLOOKUP(orders!C941,customers!$A$2:$A$1001,customers!$C$2:$C$1001,,,))</f>
        <v>wpummeryq3@topsy.com</v>
      </c>
      <c r="H941" s="9" t="str">
        <f>_xlfn.XLOOKUP(C941,customers!$A$2:$A$1001,customers!$G$2:$G$1001,"")</f>
        <v>United States</v>
      </c>
      <c r="I941" s="10" t="str">
        <f>INDEX(products!$A$2:$G$49,MATCH(orders!$D941,products!$A$2:$A$49,0),MATCH(orders!I$1,products!$A$1:$G$1,0))</f>
        <v>Lib</v>
      </c>
      <c r="J941" s="10" t="str">
        <f>INDEX(products!$A$2:$G$49,MATCH(orders!$D941,products!$A$2:$A$49,0),MATCH(orders!J$1,products!$A$1:$G$1,0))</f>
        <v>L</v>
      </c>
      <c r="K941" s="11">
        <f>INDEX(products!$A$2:$G$49,MATCH(orders!$D941,products!$A$2:$A$49,0),MATCH(orders!K$1,products!$A$1:$G$1,0))</f>
        <v>0.2</v>
      </c>
      <c r="L941" s="12">
        <f>INDEX(products!$A$2:$G$49,MATCH(orders!$D941,products!$A$2:$A$49,0),MATCH(orders!L$1,products!$A$1:$G$1,0))</f>
        <v>4.7549999999999999</v>
      </c>
      <c r="M941" s="12">
        <f t="shared" si="42"/>
        <v>28.53</v>
      </c>
      <c r="N941" s="10" t="str">
        <f t="shared" si="43"/>
        <v>Liberica</v>
      </c>
      <c r="O941" s="10" t="str">
        <f t="shared" si="44"/>
        <v>Light</v>
      </c>
      <c r="P941" s="10" t="str">
        <f>_xlfn.XLOOKUP(Tableau1[[#This Row],[Customer ID]],customers!A$2:A$1001,customers!I$2:I$1001)</f>
        <v>No</v>
      </c>
    </row>
    <row r="942" spans="1:16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9" t="str">
        <f>_xlfn.XLOOKUP(orders!C942,customers!$A$2:$A$1001,customers!$B$2:$B$1001)</f>
        <v>Geoffrey Siuda</v>
      </c>
      <c r="G942" s="9" t="str">
        <f>IF(_xlfn.XLOOKUP(orders!C942,customers!$A$2:$A$1001,customers!$C$2:$C$1001,,,)=0,"",_xlfn.XLOOKUP(orders!C942,customers!$A$2:$A$1001,customers!$C$2:$C$1001,,,))</f>
        <v>gsiudaq4@nytimes.com</v>
      </c>
      <c r="H942" s="9" t="str">
        <f>_xlfn.XLOOKUP(C942,customers!$A$2:$A$1001,customers!$G$2:$G$1001,"")</f>
        <v>United States</v>
      </c>
      <c r="I942" s="10" t="str">
        <f>INDEX(products!$A$2:$G$49,MATCH(orders!$D942,products!$A$2:$A$49,0),MATCH(orders!I$1,products!$A$1:$G$1,0))</f>
        <v>Rob</v>
      </c>
      <c r="J942" s="10" t="str">
        <f>INDEX(products!$A$2:$G$49,MATCH(orders!$D942,products!$A$2:$A$49,0),MATCH(orders!J$1,products!$A$1:$G$1,0))</f>
        <v>L</v>
      </c>
      <c r="K942" s="11">
        <f>INDEX(products!$A$2:$G$49,MATCH(orders!$D942,products!$A$2:$A$49,0),MATCH(orders!K$1,products!$A$1:$G$1,0))</f>
        <v>0.5</v>
      </c>
      <c r="L942" s="12">
        <f>INDEX(products!$A$2:$G$49,MATCH(orders!$D942,products!$A$2:$A$49,0),MATCH(orders!L$1,products!$A$1:$G$1,0))</f>
        <v>7.169999999999999</v>
      </c>
      <c r="M942" s="12">
        <f t="shared" si="42"/>
        <v>14.339999999999998</v>
      </c>
      <c r="N942" s="10" t="str">
        <f t="shared" si="43"/>
        <v>Robusta</v>
      </c>
      <c r="O942" s="10" t="str">
        <f t="shared" si="44"/>
        <v>Light</v>
      </c>
      <c r="P942" s="10" t="str">
        <f>_xlfn.XLOOKUP(Tableau1[[#This Row],[Customer ID]],customers!A$2:A$1001,customers!I$2:I$1001)</f>
        <v>Yes</v>
      </c>
    </row>
    <row r="943" spans="1:16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9" t="str">
        <f>_xlfn.XLOOKUP(orders!C943,customers!$A$2:$A$1001,customers!$B$2:$B$1001)</f>
        <v>Henderson Crowne</v>
      </c>
      <c r="G943" s="9" t="str">
        <f>IF(_xlfn.XLOOKUP(orders!C943,customers!$A$2:$A$1001,customers!$C$2:$C$1001,,,)=0,"",_xlfn.XLOOKUP(orders!C943,customers!$A$2:$A$1001,customers!$C$2:$C$1001,,,))</f>
        <v>hcrowneq5@wufoo.com</v>
      </c>
      <c r="H943" s="9" t="str">
        <f>_xlfn.XLOOKUP(C943,customers!$A$2:$A$1001,customers!$G$2:$G$1001,"")</f>
        <v>Ireland</v>
      </c>
      <c r="I943" s="10" t="str">
        <f>INDEX(products!$A$2:$G$49,MATCH(orders!$D943,products!$A$2:$A$49,0),MATCH(orders!I$1,products!$A$1:$G$1,0))</f>
        <v>Ara</v>
      </c>
      <c r="J943" s="10" t="str">
        <f>INDEX(products!$A$2:$G$49,MATCH(orders!$D943,products!$A$2:$A$49,0),MATCH(orders!J$1,products!$A$1:$G$1,0))</f>
        <v>L</v>
      </c>
      <c r="K943" s="11">
        <f>INDEX(products!$A$2:$G$49,MATCH(orders!$D943,products!$A$2:$A$49,0),MATCH(orders!K$1,products!$A$1:$G$1,0))</f>
        <v>0.5</v>
      </c>
      <c r="L943" s="12">
        <f>INDEX(products!$A$2:$G$49,MATCH(orders!$D943,products!$A$2:$A$49,0),MATCH(orders!L$1,products!$A$1:$G$1,0))</f>
        <v>7.77</v>
      </c>
      <c r="M943" s="12">
        <f t="shared" si="42"/>
        <v>15.54</v>
      </c>
      <c r="N943" s="10" t="str">
        <f t="shared" si="43"/>
        <v>Arabica</v>
      </c>
      <c r="O943" s="10" t="str">
        <f t="shared" si="44"/>
        <v>Light</v>
      </c>
      <c r="P943" s="10" t="str">
        <f>_xlfn.XLOOKUP(Tableau1[[#This Row],[Customer ID]],customers!A$2:A$1001,customers!I$2:I$1001)</f>
        <v>Yes</v>
      </c>
    </row>
    <row r="944" spans="1:16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9" t="str">
        <f>_xlfn.XLOOKUP(orders!C944,customers!$A$2:$A$1001,customers!$B$2:$B$1001)</f>
        <v>Vernor Pawsey</v>
      </c>
      <c r="G944" s="9" t="str">
        <f>IF(_xlfn.XLOOKUP(orders!C944,customers!$A$2:$A$1001,customers!$C$2:$C$1001,,,)=0,"",_xlfn.XLOOKUP(orders!C944,customers!$A$2:$A$1001,customers!$C$2:$C$1001,,,))</f>
        <v>vpawseyq6@tiny.cc</v>
      </c>
      <c r="H944" s="9" t="str">
        <f>_xlfn.XLOOKUP(C944,customers!$A$2:$A$1001,customers!$G$2:$G$1001,"")</f>
        <v>United States</v>
      </c>
      <c r="I944" s="10" t="str">
        <f>INDEX(products!$A$2:$G$49,MATCH(orders!$D944,products!$A$2:$A$49,0),MATCH(orders!I$1,products!$A$1:$G$1,0))</f>
        <v>Rob</v>
      </c>
      <c r="J944" s="10" t="str">
        <f>INDEX(products!$A$2:$G$49,MATCH(orders!$D944,products!$A$2:$A$49,0),MATCH(orders!J$1,products!$A$1:$G$1,0))</f>
        <v>L</v>
      </c>
      <c r="K944" s="11">
        <f>INDEX(products!$A$2:$G$49,MATCH(orders!$D944,products!$A$2:$A$49,0),MATCH(orders!K$1,products!$A$1:$G$1,0))</f>
        <v>1</v>
      </c>
      <c r="L944" s="12">
        <f>INDEX(products!$A$2:$G$49,MATCH(orders!$D944,products!$A$2:$A$49,0),MATCH(orders!L$1,products!$A$1:$G$1,0))</f>
        <v>11.95</v>
      </c>
      <c r="M944" s="12">
        <f t="shared" si="42"/>
        <v>35.849999999999994</v>
      </c>
      <c r="N944" s="10" t="str">
        <f t="shared" si="43"/>
        <v>Robusta</v>
      </c>
      <c r="O944" s="10" t="str">
        <f t="shared" si="44"/>
        <v>Light</v>
      </c>
      <c r="P944" s="10" t="str">
        <f>_xlfn.XLOOKUP(Tableau1[[#This Row],[Customer ID]],customers!A$2:A$1001,customers!I$2:I$1001)</f>
        <v>No</v>
      </c>
    </row>
    <row r="945" spans="1:16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9" t="str">
        <f>_xlfn.XLOOKUP(orders!C945,customers!$A$2:$A$1001,customers!$B$2:$B$1001)</f>
        <v>Augustin Waterhouse</v>
      </c>
      <c r="G945" s="9" t="str">
        <f>IF(_xlfn.XLOOKUP(orders!C945,customers!$A$2:$A$1001,customers!$C$2:$C$1001,,,)=0,"",_xlfn.XLOOKUP(orders!C945,customers!$A$2:$A$1001,customers!$C$2:$C$1001,,,))</f>
        <v>awaterhouseq7@istockphoto.com</v>
      </c>
      <c r="H945" s="9" t="str">
        <f>_xlfn.XLOOKUP(C945,customers!$A$2:$A$1001,customers!$G$2:$G$1001,"")</f>
        <v>United States</v>
      </c>
      <c r="I945" s="10" t="str">
        <f>INDEX(products!$A$2:$G$49,MATCH(orders!$D945,products!$A$2:$A$49,0),MATCH(orders!I$1,products!$A$1:$G$1,0))</f>
        <v>Ara</v>
      </c>
      <c r="J945" s="10" t="str">
        <f>INDEX(products!$A$2:$G$49,MATCH(orders!$D945,products!$A$2:$A$49,0),MATCH(orders!J$1,products!$A$1:$G$1,0))</f>
        <v>L</v>
      </c>
      <c r="K945" s="11">
        <f>INDEX(products!$A$2:$G$49,MATCH(orders!$D945,products!$A$2:$A$49,0),MATCH(orders!K$1,products!$A$1:$G$1,0))</f>
        <v>0.5</v>
      </c>
      <c r="L945" s="12">
        <f>INDEX(products!$A$2:$G$49,MATCH(orders!$D945,products!$A$2:$A$49,0),MATCH(orders!L$1,products!$A$1:$G$1,0))</f>
        <v>7.77</v>
      </c>
      <c r="M945" s="12">
        <f t="shared" si="42"/>
        <v>46.62</v>
      </c>
      <c r="N945" s="10" t="str">
        <f t="shared" si="43"/>
        <v>Arabica</v>
      </c>
      <c r="O945" s="10" t="str">
        <f t="shared" si="44"/>
        <v>Light</v>
      </c>
      <c r="P945" s="10" t="str">
        <f>_xlfn.XLOOKUP(Tableau1[[#This Row],[Customer ID]],customers!A$2:A$1001,customers!I$2:I$1001)</f>
        <v>No</v>
      </c>
    </row>
    <row r="946" spans="1:16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9" t="str">
        <f>_xlfn.XLOOKUP(orders!C946,customers!$A$2:$A$1001,customers!$B$2:$B$1001)</f>
        <v>Fanchon Haughian</v>
      </c>
      <c r="G946" s="9" t="str">
        <f>IF(_xlfn.XLOOKUP(orders!C946,customers!$A$2:$A$1001,customers!$C$2:$C$1001,,,)=0,"",_xlfn.XLOOKUP(orders!C946,customers!$A$2:$A$1001,customers!$C$2:$C$1001,,,))</f>
        <v>fhaughianq8@1688.com</v>
      </c>
      <c r="H946" s="9" t="str">
        <f>_xlfn.XLOOKUP(C946,customers!$A$2:$A$1001,customers!$G$2:$G$1001,"")</f>
        <v>United States</v>
      </c>
      <c r="I946" s="10" t="str">
        <f>INDEX(products!$A$2:$G$49,MATCH(orders!$D946,products!$A$2:$A$49,0),MATCH(orders!I$1,products!$A$1:$G$1,0))</f>
        <v>Rob</v>
      </c>
      <c r="J946" s="10" t="str">
        <f>INDEX(products!$A$2:$G$49,MATCH(orders!$D946,products!$A$2:$A$49,0),MATCH(orders!J$1,products!$A$1:$G$1,0))</f>
        <v>L</v>
      </c>
      <c r="K946" s="11">
        <f>INDEX(products!$A$2:$G$49,MATCH(orders!$D946,products!$A$2:$A$49,0),MATCH(orders!K$1,products!$A$1:$G$1,0))</f>
        <v>0.5</v>
      </c>
      <c r="L946" s="12">
        <f>INDEX(products!$A$2:$G$49,MATCH(orders!$D946,products!$A$2:$A$49,0),MATCH(orders!L$1,products!$A$1:$G$1,0))</f>
        <v>7.169999999999999</v>
      </c>
      <c r="M946" s="12">
        <f t="shared" si="42"/>
        <v>35.849999999999994</v>
      </c>
      <c r="N946" s="10" t="str">
        <f t="shared" si="43"/>
        <v>Robusta</v>
      </c>
      <c r="O946" s="10" t="str">
        <f t="shared" si="44"/>
        <v>Light</v>
      </c>
      <c r="P946" s="10" t="str">
        <f>_xlfn.XLOOKUP(Tableau1[[#This Row],[Customer ID]],customers!A$2:A$1001,customers!I$2:I$1001)</f>
        <v>No</v>
      </c>
    </row>
    <row r="947" spans="1:16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9" t="str">
        <f>_xlfn.XLOOKUP(orders!C947,customers!$A$2:$A$1001,customers!$B$2:$B$1001)</f>
        <v>Jaimie Hatz</v>
      </c>
      <c r="G947" s="9" t="str">
        <f>IF(_xlfn.XLOOKUP(orders!C947,customers!$A$2:$A$1001,customers!$C$2:$C$1001,,,)=0,"",_xlfn.XLOOKUP(orders!C947,customers!$A$2:$A$1001,customers!$C$2:$C$1001,,,))</f>
        <v/>
      </c>
      <c r="H947" s="9" t="str">
        <f>_xlfn.XLOOKUP(C947,customers!$A$2:$A$1001,customers!$G$2:$G$1001,"")</f>
        <v>United States</v>
      </c>
      <c r="I947" s="10" t="str">
        <f>INDEX(products!$A$2:$G$49,MATCH(orders!$D947,products!$A$2:$A$49,0),MATCH(orders!I$1,products!$A$1:$G$1,0))</f>
        <v>Lib</v>
      </c>
      <c r="J947" s="10" t="str">
        <f>INDEX(products!$A$2:$G$49,MATCH(orders!$D947,products!$A$2:$A$49,0),MATCH(orders!J$1,products!$A$1:$G$1,0))</f>
        <v>D</v>
      </c>
      <c r="K947" s="11">
        <f>INDEX(products!$A$2:$G$49,MATCH(orders!$D947,products!$A$2:$A$49,0),MATCH(orders!K$1,products!$A$1:$G$1,0))</f>
        <v>2.5</v>
      </c>
      <c r="L947" s="12">
        <f>INDEX(products!$A$2:$G$49,MATCH(orders!$D947,products!$A$2:$A$49,0),MATCH(orders!L$1,products!$A$1:$G$1,0))</f>
        <v>29.784999999999997</v>
      </c>
      <c r="M947" s="12">
        <f t="shared" si="42"/>
        <v>119.13999999999999</v>
      </c>
      <c r="N947" s="10" t="str">
        <f t="shared" si="43"/>
        <v>Liberica</v>
      </c>
      <c r="O947" s="10" t="str">
        <f t="shared" si="44"/>
        <v>Dark</v>
      </c>
      <c r="P947" s="10" t="str">
        <f>_xlfn.XLOOKUP(Tableau1[[#This Row],[Customer ID]],customers!A$2:A$1001,customers!I$2:I$1001)</f>
        <v>No</v>
      </c>
    </row>
    <row r="948" spans="1:16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9" t="str">
        <f>_xlfn.XLOOKUP(orders!C948,customers!$A$2:$A$1001,customers!$B$2:$B$1001)</f>
        <v>Edeline Edney</v>
      </c>
      <c r="G948" s="9" t="str">
        <f>IF(_xlfn.XLOOKUP(orders!C948,customers!$A$2:$A$1001,customers!$C$2:$C$1001,,,)=0,"",_xlfn.XLOOKUP(orders!C948,customers!$A$2:$A$1001,customers!$C$2:$C$1001,,,))</f>
        <v/>
      </c>
      <c r="H948" s="9" t="str">
        <f>_xlfn.XLOOKUP(C948,customers!$A$2:$A$1001,customers!$G$2:$G$1001,"")</f>
        <v>United States</v>
      </c>
      <c r="I948" s="10" t="str">
        <f>INDEX(products!$A$2:$G$49,MATCH(orders!$D948,products!$A$2:$A$49,0),MATCH(orders!I$1,products!$A$1:$G$1,0))</f>
        <v>Lib</v>
      </c>
      <c r="J948" s="10" t="str">
        <f>INDEX(products!$A$2:$G$49,MATCH(orders!$D948,products!$A$2:$A$49,0),MATCH(orders!J$1,products!$A$1:$G$1,0))</f>
        <v>D</v>
      </c>
      <c r="K948" s="11">
        <f>INDEX(products!$A$2:$G$49,MATCH(orders!$D948,products!$A$2:$A$49,0),MATCH(orders!K$1,products!$A$1:$G$1,0))</f>
        <v>0.5</v>
      </c>
      <c r="L948" s="12">
        <f>INDEX(products!$A$2:$G$49,MATCH(orders!$D948,products!$A$2:$A$49,0),MATCH(orders!L$1,products!$A$1:$G$1,0))</f>
        <v>7.77</v>
      </c>
      <c r="M948" s="12">
        <f t="shared" si="42"/>
        <v>23.31</v>
      </c>
      <c r="N948" s="10" t="str">
        <f t="shared" si="43"/>
        <v>Liberica</v>
      </c>
      <c r="O948" s="10" t="str">
        <f t="shared" si="44"/>
        <v>Dark</v>
      </c>
      <c r="P948" s="10" t="str">
        <f>_xlfn.XLOOKUP(Tableau1[[#This Row],[Customer ID]],customers!A$2:A$1001,customers!I$2:I$1001)</f>
        <v>No</v>
      </c>
    </row>
    <row r="949" spans="1:16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9" t="str">
        <f>_xlfn.XLOOKUP(orders!C949,customers!$A$2:$A$1001,customers!$B$2:$B$1001)</f>
        <v>Rickie Faltin</v>
      </c>
      <c r="G949" s="9" t="str">
        <f>IF(_xlfn.XLOOKUP(orders!C949,customers!$A$2:$A$1001,customers!$C$2:$C$1001,,,)=0,"",_xlfn.XLOOKUP(orders!C949,customers!$A$2:$A$1001,customers!$C$2:$C$1001,,,))</f>
        <v>rfaltinqb@topsy.com</v>
      </c>
      <c r="H949" s="9" t="str">
        <f>_xlfn.XLOOKUP(C949,customers!$A$2:$A$1001,customers!$G$2:$G$1001,"")</f>
        <v>Ireland</v>
      </c>
      <c r="I949" s="10" t="str">
        <f>INDEX(products!$A$2:$G$49,MATCH(orders!$D949,products!$A$2:$A$49,0),MATCH(orders!I$1,products!$A$1:$G$1,0))</f>
        <v>Ara</v>
      </c>
      <c r="J949" s="10" t="str">
        <f>INDEX(products!$A$2:$G$49,MATCH(orders!$D949,products!$A$2:$A$49,0),MATCH(orders!J$1,products!$A$1:$G$1,0))</f>
        <v>M</v>
      </c>
      <c r="K949" s="11">
        <f>INDEX(products!$A$2:$G$49,MATCH(orders!$D949,products!$A$2:$A$49,0),MATCH(orders!K$1,products!$A$1:$G$1,0))</f>
        <v>1</v>
      </c>
      <c r="L949" s="12">
        <f>INDEX(products!$A$2:$G$49,MATCH(orders!$D949,products!$A$2:$A$49,0),MATCH(orders!L$1,products!$A$1:$G$1,0))</f>
        <v>11.25</v>
      </c>
      <c r="M949" s="12">
        <f t="shared" si="42"/>
        <v>11.25</v>
      </c>
      <c r="N949" s="10" t="str">
        <f t="shared" si="43"/>
        <v>Arabica</v>
      </c>
      <c r="O949" s="10" t="str">
        <f t="shared" si="44"/>
        <v>Medium</v>
      </c>
      <c r="P949" s="10" t="str">
        <f>_xlfn.XLOOKUP(Tableau1[[#This Row],[Customer ID]],customers!A$2:A$1001,customers!I$2:I$1001)</f>
        <v>No</v>
      </c>
    </row>
    <row r="950" spans="1:16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9" t="str">
        <f>_xlfn.XLOOKUP(orders!C950,customers!$A$2:$A$1001,customers!$B$2:$B$1001)</f>
        <v>Gnni Cheeke</v>
      </c>
      <c r="G950" s="9" t="str">
        <f>IF(_xlfn.XLOOKUP(orders!C950,customers!$A$2:$A$1001,customers!$C$2:$C$1001,,,)=0,"",_xlfn.XLOOKUP(orders!C950,customers!$A$2:$A$1001,customers!$C$2:$C$1001,,,))</f>
        <v>gcheekeqc@sitemeter.com</v>
      </c>
      <c r="H950" s="9" t="str">
        <f>_xlfn.XLOOKUP(C950,customers!$A$2:$A$1001,customers!$G$2:$G$1001,"")</f>
        <v>United Kingdom</v>
      </c>
      <c r="I950" s="10" t="str">
        <f>INDEX(products!$A$2:$G$49,MATCH(orders!$D950,products!$A$2:$A$49,0),MATCH(orders!I$1,products!$A$1:$G$1,0))</f>
        <v>Exc</v>
      </c>
      <c r="J950" s="10" t="str">
        <f>INDEX(products!$A$2:$G$49,MATCH(orders!$D950,products!$A$2:$A$49,0),MATCH(orders!J$1,products!$A$1:$G$1,0))</f>
        <v>D</v>
      </c>
      <c r="K950" s="11">
        <f>INDEX(products!$A$2:$G$49,MATCH(orders!$D950,products!$A$2:$A$49,0),MATCH(orders!K$1,products!$A$1:$G$1,0))</f>
        <v>2.5</v>
      </c>
      <c r="L950" s="12">
        <f>INDEX(products!$A$2:$G$49,MATCH(orders!$D950,products!$A$2:$A$49,0),MATCH(orders!L$1,products!$A$1:$G$1,0))</f>
        <v>27.945</v>
      </c>
      <c r="M950" s="12">
        <f t="shared" si="42"/>
        <v>83.835000000000008</v>
      </c>
      <c r="N950" s="10" t="str">
        <f t="shared" si="43"/>
        <v>Excelsa</v>
      </c>
      <c r="O950" s="10" t="str">
        <f t="shared" si="44"/>
        <v>Dark</v>
      </c>
      <c r="P950" s="10" t="str">
        <f>_xlfn.XLOOKUP(Tableau1[[#This Row],[Customer ID]],customers!A$2:A$1001,customers!I$2:I$1001)</f>
        <v>Yes</v>
      </c>
    </row>
    <row r="951" spans="1:16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9" t="str">
        <f>_xlfn.XLOOKUP(orders!C951,customers!$A$2:$A$1001,customers!$B$2:$B$1001)</f>
        <v>Gwenni Ratt</v>
      </c>
      <c r="G951" s="9" t="str">
        <f>IF(_xlfn.XLOOKUP(orders!C951,customers!$A$2:$A$1001,customers!$C$2:$C$1001,,,)=0,"",_xlfn.XLOOKUP(orders!C951,customers!$A$2:$A$1001,customers!$C$2:$C$1001,,,))</f>
        <v>grattqd@phpbb.com</v>
      </c>
      <c r="H951" s="9" t="str">
        <f>_xlfn.XLOOKUP(C951,customers!$A$2:$A$1001,customers!$G$2:$G$1001,"")</f>
        <v>Ireland</v>
      </c>
      <c r="I951" s="10" t="str">
        <f>INDEX(products!$A$2:$G$49,MATCH(orders!$D951,products!$A$2:$A$49,0),MATCH(orders!I$1,products!$A$1:$G$1,0))</f>
        <v>Rob</v>
      </c>
      <c r="J951" s="10" t="str">
        <f>INDEX(products!$A$2:$G$49,MATCH(orders!$D951,products!$A$2:$A$49,0),MATCH(orders!J$1,products!$A$1:$G$1,0))</f>
        <v>L</v>
      </c>
      <c r="K951" s="11">
        <f>INDEX(products!$A$2:$G$49,MATCH(orders!$D951,products!$A$2:$A$49,0),MATCH(orders!K$1,products!$A$1:$G$1,0))</f>
        <v>2.5</v>
      </c>
      <c r="L951" s="12">
        <f>INDEX(products!$A$2:$G$49,MATCH(orders!$D951,products!$A$2:$A$49,0),MATCH(orders!L$1,products!$A$1:$G$1,0))</f>
        <v>27.484999999999996</v>
      </c>
      <c r="M951" s="12">
        <f t="shared" si="42"/>
        <v>109.93999999999998</v>
      </c>
      <c r="N951" s="10" t="str">
        <f t="shared" si="43"/>
        <v>Robusta</v>
      </c>
      <c r="O951" s="10" t="str">
        <f t="shared" si="44"/>
        <v>Light</v>
      </c>
      <c r="P951" s="10" t="str">
        <f>_xlfn.XLOOKUP(Tableau1[[#This Row],[Customer ID]],customers!A$2:A$1001,customers!I$2:I$1001)</f>
        <v>No</v>
      </c>
    </row>
    <row r="952" spans="1:16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9" t="str">
        <f>_xlfn.XLOOKUP(orders!C952,customers!$A$2:$A$1001,customers!$B$2:$B$1001)</f>
        <v>Johnath Fairebrother</v>
      </c>
      <c r="G952" s="9" t="str">
        <f>IF(_xlfn.XLOOKUP(orders!C952,customers!$A$2:$A$1001,customers!$C$2:$C$1001,,,)=0,"",_xlfn.XLOOKUP(orders!C952,customers!$A$2:$A$1001,customers!$C$2:$C$1001,,,))</f>
        <v/>
      </c>
      <c r="H952" s="9" t="str">
        <f>_xlfn.XLOOKUP(C952,customers!$A$2:$A$1001,customers!$G$2:$G$1001,"")</f>
        <v>United States</v>
      </c>
      <c r="I952" s="10" t="str">
        <f>INDEX(products!$A$2:$G$49,MATCH(orders!$D952,products!$A$2:$A$49,0),MATCH(orders!I$1,products!$A$1:$G$1,0))</f>
        <v>Rob</v>
      </c>
      <c r="J952" s="10" t="str">
        <f>INDEX(products!$A$2:$G$49,MATCH(orders!$D952,products!$A$2:$A$49,0),MATCH(orders!J$1,products!$A$1:$G$1,0))</f>
        <v>L</v>
      </c>
      <c r="K952" s="11">
        <f>INDEX(products!$A$2:$G$49,MATCH(orders!$D952,products!$A$2:$A$49,0),MATCH(orders!K$1,products!$A$1:$G$1,0))</f>
        <v>0.2</v>
      </c>
      <c r="L952" s="12">
        <f>INDEX(products!$A$2:$G$49,MATCH(orders!$D952,products!$A$2:$A$49,0),MATCH(orders!L$1,products!$A$1:$G$1,0))</f>
        <v>3.5849999999999995</v>
      </c>
      <c r="M952" s="12">
        <f t="shared" si="42"/>
        <v>14.339999999999998</v>
      </c>
      <c r="N952" s="10" t="str">
        <f t="shared" si="43"/>
        <v>Robusta</v>
      </c>
      <c r="O952" s="10" t="str">
        <f t="shared" si="44"/>
        <v>Light</v>
      </c>
      <c r="P952" s="10" t="str">
        <f>_xlfn.XLOOKUP(Tableau1[[#This Row],[Customer ID]],customers!A$2:A$1001,customers!I$2:I$1001)</f>
        <v>Yes</v>
      </c>
    </row>
    <row r="953" spans="1:16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9" t="str">
        <f>_xlfn.XLOOKUP(orders!C953,customers!$A$2:$A$1001,customers!$B$2:$B$1001)</f>
        <v>Ingamar Eberlein</v>
      </c>
      <c r="G953" s="9" t="str">
        <f>IF(_xlfn.XLOOKUP(orders!C953,customers!$A$2:$A$1001,customers!$C$2:$C$1001,,,)=0,"",_xlfn.XLOOKUP(orders!C953,customers!$A$2:$A$1001,customers!$C$2:$C$1001,,,))</f>
        <v>ieberleinqf@hc360.com</v>
      </c>
      <c r="H953" s="9" t="str">
        <f>_xlfn.XLOOKUP(C953,customers!$A$2:$A$1001,customers!$G$2:$G$1001,"")</f>
        <v>United States</v>
      </c>
      <c r="I953" s="10" t="str">
        <f>INDEX(products!$A$2:$G$49,MATCH(orders!$D953,products!$A$2:$A$49,0),MATCH(orders!I$1,products!$A$1:$G$1,0))</f>
        <v>Rob</v>
      </c>
      <c r="J953" s="10" t="str">
        <f>INDEX(products!$A$2:$G$49,MATCH(orders!$D953,products!$A$2:$A$49,0),MATCH(orders!J$1,products!$A$1:$G$1,0))</f>
        <v>L</v>
      </c>
      <c r="K953" s="11">
        <f>INDEX(products!$A$2:$G$49,MATCH(orders!$D953,products!$A$2:$A$49,0),MATCH(orders!K$1,products!$A$1:$G$1,0))</f>
        <v>0.2</v>
      </c>
      <c r="L953" s="12">
        <f>INDEX(products!$A$2:$G$49,MATCH(orders!$D953,products!$A$2:$A$49,0),MATCH(orders!L$1,products!$A$1:$G$1,0))</f>
        <v>3.5849999999999995</v>
      </c>
      <c r="M953" s="12">
        <f t="shared" si="42"/>
        <v>21.509999999999998</v>
      </c>
      <c r="N953" s="10" t="str">
        <f t="shared" si="43"/>
        <v>Robusta</v>
      </c>
      <c r="O953" s="10" t="str">
        <f t="shared" si="44"/>
        <v>Light</v>
      </c>
      <c r="P953" s="10" t="str">
        <f>_xlfn.XLOOKUP(Tableau1[[#This Row],[Customer ID]],customers!A$2:A$1001,customers!I$2:I$1001)</f>
        <v>No</v>
      </c>
    </row>
    <row r="954" spans="1:16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9" t="str">
        <f>_xlfn.XLOOKUP(orders!C954,customers!$A$2:$A$1001,customers!$B$2:$B$1001)</f>
        <v>Jilly Dreng</v>
      </c>
      <c r="G954" s="9" t="str">
        <f>IF(_xlfn.XLOOKUP(orders!C954,customers!$A$2:$A$1001,customers!$C$2:$C$1001,,,)=0,"",_xlfn.XLOOKUP(orders!C954,customers!$A$2:$A$1001,customers!$C$2:$C$1001,,,))</f>
        <v>jdrengqg@uiuc.edu</v>
      </c>
      <c r="H954" s="9" t="str">
        <f>_xlfn.XLOOKUP(C954,customers!$A$2:$A$1001,customers!$G$2:$G$1001,"")</f>
        <v>Ireland</v>
      </c>
      <c r="I954" s="10" t="str">
        <f>INDEX(products!$A$2:$G$49,MATCH(orders!$D954,products!$A$2:$A$49,0),MATCH(orders!I$1,products!$A$1:$G$1,0))</f>
        <v>Ara</v>
      </c>
      <c r="J954" s="10" t="str">
        <f>INDEX(products!$A$2:$G$49,MATCH(orders!$D954,products!$A$2:$A$49,0),MATCH(orders!J$1,products!$A$1:$G$1,0))</f>
        <v>M</v>
      </c>
      <c r="K954" s="11">
        <f>INDEX(products!$A$2:$G$49,MATCH(orders!$D954,products!$A$2:$A$49,0),MATCH(orders!K$1,products!$A$1:$G$1,0))</f>
        <v>1</v>
      </c>
      <c r="L954" s="12">
        <f>INDEX(products!$A$2:$G$49,MATCH(orders!$D954,products!$A$2:$A$49,0),MATCH(orders!L$1,products!$A$1:$G$1,0))</f>
        <v>11.25</v>
      </c>
      <c r="M954" s="12">
        <f t="shared" si="42"/>
        <v>22.5</v>
      </c>
      <c r="N954" s="10" t="str">
        <f t="shared" si="43"/>
        <v>Arabica</v>
      </c>
      <c r="O954" s="10" t="str">
        <f t="shared" si="44"/>
        <v>Medium</v>
      </c>
      <c r="P954" s="10" t="str">
        <f>_xlfn.XLOOKUP(Tableau1[[#This Row],[Customer ID]],customers!A$2:A$1001,customers!I$2:I$1001)</f>
        <v>Yes</v>
      </c>
    </row>
    <row r="955" spans="1:16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9" t="str">
        <f>_xlfn.XLOOKUP(orders!C955,customers!$A$2:$A$1001,customers!$B$2:$B$1001)</f>
        <v>Brenn Dundredge</v>
      </c>
      <c r="G955" s="9" t="str">
        <f>IF(_xlfn.XLOOKUP(orders!C955,customers!$A$2:$A$1001,customers!$C$2:$C$1001,,,)=0,"",_xlfn.XLOOKUP(orders!C955,customers!$A$2:$A$1001,customers!$C$2:$C$1001,,,))</f>
        <v/>
      </c>
      <c r="H955" s="9" t="str">
        <f>_xlfn.XLOOKUP(C955,customers!$A$2:$A$1001,customers!$G$2:$G$1001,"")</f>
        <v>United States</v>
      </c>
      <c r="I955" s="10" t="str">
        <f>INDEX(products!$A$2:$G$49,MATCH(orders!$D955,products!$A$2:$A$49,0),MATCH(orders!I$1,products!$A$1:$G$1,0))</f>
        <v>Ara</v>
      </c>
      <c r="J955" s="10" t="str">
        <f>INDEX(products!$A$2:$G$49,MATCH(orders!$D955,products!$A$2:$A$49,0),MATCH(orders!J$1,products!$A$1:$G$1,0))</f>
        <v>L</v>
      </c>
      <c r="K955" s="11">
        <f>INDEX(products!$A$2:$G$49,MATCH(orders!$D955,products!$A$2:$A$49,0),MATCH(orders!K$1,products!$A$1:$G$1,0))</f>
        <v>0.2</v>
      </c>
      <c r="L955" s="12">
        <f>INDEX(products!$A$2:$G$49,MATCH(orders!$D955,products!$A$2:$A$49,0),MATCH(orders!L$1,products!$A$1:$G$1,0))</f>
        <v>3.8849999999999998</v>
      </c>
      <c r="M955" s="12">
        <f t="shared" si="42"/>
        <v>3.8849999999999998</v>
      </c>
      <c r="N955" s="10" t="str">
        <f t="shared" si="43"/>
        <v>Arabica</v>
      </c>
      <c r="O955" s="10" t="str">
        <f t="shared" si="44"/>
        <v>Light</v>
      </c>
      <c r="P955" s="10" t="str">
        <f>_xlfn.XLOOKUP(Tableau1[[#This Row],[Customer ID]],customers!A$2:A$1001,customers!I$2:I$1001)</f>
        <v>Yes</v>
      </c>
    </row>
    <row r="956" spans="1:16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9" t="str">
        <f>_xlfn.XLOOKUP(orders!C956,customers!$A$2:$A$1001,customers!$B$2:$B$1001)</f>
        <v>Brenn Dundredge</v>
      </c>
      <c r="G956" s="9" t="str">
        <f>IF(_xlfn.XLOOKUP(orders!C956,customers!$A$2:$A$1001,customers!$C$2:$C$1001,,,)=0,"",_xlfn.XLOOKUP(orders!C956,customers!$A$2:$A$1001,customers!$C$2:$C$1001,,,))</f>
        <v/>
      </c>
      <c r="H956" s="9" t="str">
        <f>_xlfn.XLOOKUP(C956,customers!$A$2:$A$1001,customers!$G$2:$G$1001,"")</f>
        <v>United States</v>
      </c>
      <c r="I956" s="10" t="str">
        <f>INDEX(products!$A$2:$G$49,MATCH(orders!$D956,products!$A$2:$A$49,0),MATCH(orders!I$1,products!$A$1:$G$1,0))</f>
        <v>Exc</v>
      </c>
      <c r="J956" s="10" t="str">
        <f>INDEX(products!$A$2:$G$49,MATCH(orders!$D956,products!$A$2:$A$49,0),MATCH(orders!J$1,products!$A$1:$G$1,0))</f>
        <v>D</v>
      </c>
      <c r="K956" s="11">
        <f>INDEX(products!$A$2:$G$49,MATCH(orders!$D956,products!$A$2:$A$49,0),MATCH(orders!K$1,products!$A$1:$G$1,0))</f>
        <v>2.5</v>
      </c>
      <c r="L956" s="12">
        <f>INDEX(products!$A$2:$G$49,MATCH(orders!$D956,products!$A$2:$A$49,0),MATCH(orders!L$1,products!$A$1:$G$1,0))</f>
        <v>27.945</v>
      </c>
      <c r="M956" s="12">
        <f t="shared" si="42"/>
        <v>27.945</v>
      </c>
      <c r="N956" s="10" t="str">
        <f t="shared" si="43"/>
        <v>Excelsa</v>
      </c>
      <c r="O956" s="10" t="str">
        <f t="shared" si="44"/>
        <v>Dark</v>
      </c>
      <c r="P956" s="10" t="str">
        <f>_xlfn.XLOOKUP(Tableau1[[#This Row],[Customer ID]],customers!A$2:A$1001,customers!I$2:I$1001)</f>
        <v>Yes</v>
      </c>
    </row>
    <row r="957" spans="1:16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9" t="str">
        <f>_xlfn.XLOOKUP(orders!C957,customers!$A$2:$A$1001,customers!$B$2:$B$1001)</f>
        <v>Brenn Dundredge</v>
      </c>
      <c r="G957" s="9" t="str">
        <f>IF(_xlfn.XLOOKUP(orders!C957,customers!$A$2:$A$1001,customers!$C$2:$C$1001,,,)=0,"",_xlfn.XLOOKUP(orders!C957,customers!$A$2:$A$1001,customers!$C$2:$C$1001,,,))</f>
        <v/>
      </c>
      <c r="H957" s="9" t="str">
        <f>_xlfn.XLOOKUP(C957,customers!$A$2:$A$1001,customers!$G$2:$G$1001,"")</f>
        <v>United States</v>
      </c>
      <c r="I957" s="10" t="str">
        <f>INDEX(products!$A$2:$G$49,MATCH(orders!$D957,products!$A$2:$A$49,0),MATCH(orders!I$1,products!$A$1:$G$1,0))</f>
        <v>Exc</v>
      </c>
      <c r="J957" s="10" t="str">
        <f>INDEX(products!$A$2:$G$49,MATCH(orders!$D957,products!$A$2:$A$49,0),MATCH(orders!J$1,products!$A$1:$G$1,0))</f>
        <v>L</v>
      </c>
      <c r="K957" s="11">
        <f>INDEX(products!$A$2:$G$49,MATCH(orders!$D957,products!$A$2:$A$49,0),MATCH(orders!K$1,products!$A$1:$G$1,0))</f>
        <v>2.5</v>
      </c>
      <c r="L957" s="12">
        <f>INDEX(products!$A$2:$G$49,MATCH(orders!$D957,products!$A$2:$A$49,0),MATCH(orders!L$1,products!$A$1:$G$1,0))</f>
        <v>34.154999999999994</v>
      </c>
      <c r="M957" s="12">
        <f t="shared" si="42"/>
        <v>170.77499999999998</v>
      </c>
      <c r="N957" s="10" t="str">
        <f t="shared" si="43"/>
        <v>Excelsa</v>
      </c>
      <c r="O957" s="10" t="str">
        <f t="shared" si="44"/>
        <v>Light</v>
      </c>
      <c r="P957" s="10" t="str">
        <f>_xlfn.XLOOKUP(Tableau1[[#This Row],[Customer ID]],customers!A$2:A$1001,customers!I$2:I$1001)</f>
        <v>Yes</v>
      </c>
    </row>
    <row r="958" spans="1:16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9" t="str">
        <f>_xlfn.XLOOKUP(orders!C958,customers!$A$2:$A$1001,customers!$B$2:$B$1001)</f>
        <v>Brenn Dundredge</v>
      </c>
      <c r="G958" s="9" t="str">
        <f>IF(_xlfn.XLOOKUP(orders!C958,customers!$A$2:$A$1001,customers!$C$2:$C$1001,,,)=0,"",_xlfn.XLOOKUP(orders!C958,customers!$A$2:$A$1001,customers!$C$2:$C$1001,,,))</f>
        <v/>
      </c>
      <c r="H958" s="9" t="str">
        <f>_xlfn.XLOOKUP(C958,customers!$A$2:$A$1001,customers!$G$2:$G$1001,"")</f>
        <v>United States</v>
      </c>
      <c r="I958" s="10" t="str">
        <f>INDEX(products!$A$2:$G$49,MATCH(orders!$D958,products!$A$2:$A$49,0),MATCH(orders!I$1,products!$A$1:$G$1,0))</f>
        <v>Rob</v>
      </c>
      <c r="J958" s="10" t="str">
        <f>INDEX(products!$A$2:$G$49,MATCH(orders!$D958,products!$A$2:$A$49,0),MATCH(orders!J$1,products!$A$1:$G$1,0))</f>
        <v>L</v>
      </c>
      <c r="K958" s="11">
        <f>INDEX(products!$A$2:$G$49,MATCH(orders!$D958,products!$A$2:$A$49,0),MATCH(orders!K$1,products!$A$1:$G$1,0))</f>
        <v>2.5</v>
      </c>
      <c r="L958" s="12">
        <f>INDEX(products!$A$2:$G$49,MATCH(orders!$D958,products!$A$2:$A$49,0),MATCH(orders!L$1,products!$A$1:$G$1,0))</f>
        <v>27.484999999999996</v>
      </c>
      <c r="M958" s="12">
        <f t="shared" si="42"/>
        <v>54.969999999999992</v>
      </c>
      <c r="N958" s="10" t="str">
        <f t="shared" si="43"/>
        <v>Robusta</v>
      </c>
      <c r="O958" s="10" t="str">
        <f t="shared" si="44"/>
        <v>Light</v>
      </c>
      <c r="P958" s="10" t="str">
        <f>_xlfn.XLOOKUP(Tableau1[[#This Row],[Customer ID]],customers!A$2:A$1001,customers!I$2:I$1001)</f>
        <v>Yes</v>
      </c>
    </row>
    <row r="959" spans="1:16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9" t="str">
        <f>_xlfn.XLOOKUP(orders!C959,customers!$A$2:$A$1001,customers!$B$2:$B$1001)</f>
        <v>Brenn Dundredge</v>
      </c>
      <c r="G959" s="9" t="str">
        <f>IF(_xlfn.XLOOKUP(orders!C959,customers!$A$2:$A$1001,customers!$C$2:$C$1001,,,)=0,"",_xlfn.XLOOKUP(orders!C959,customers!$A$2:$A$1001,customers!$C$2:$C$1001,,,))</f>
        <v/>
      </c>
      <c r="H959" s="9" t="str">
        <f>_xlfn.XLOOKUP(C959,customers!$A$2:$A$1001,customers!$G$2:$G$1001,"")</f>
        <v>United States</v>
      </c>
      <c r="I959" s="10" t="str">
        <f>INDEX(products!$A$2:$G$49,MATCH(orders!$D959,products!$A$2:$A$49,0),MATCH(orders!I$1,products!$A$1:$G$1,0))</f>
        <v>Exc</v>
      </c>
      <c r="J959" s="10" t="str">
        <f>INDEX(products!$A$2:$G$49,MATCH(orders!$D959,products!$A$2:$A$49,0),MATCH(orders!J$1,products!$A$1:$G$1,0))</f>
        <v>L</v>
      </c>
      <c r="K959" s="11">
        <f>INDEX(products!$A$2:$G$49,MATCH(orders!$D959,products!$A$2:$A$49,0),MATCH(orders!K$1,products!$A$1:$G$1,0))</f>
        <v>1</v>
      </c>
      <c r="L959" s="12">
        <f>INDEX(products!$A$2:$G$49,MATCH(orders!$D959,products!$A$2:$A$49,0),MATCH(orders!L$1,products!$A$1:$G$1,0))</f>
        <v>14.85</v>
      </c>
      <c r="M959" s="12">
        <f t="shared" si="42"/>
        <v>14.85</v>
      </c>
      <c r="N959" s="10" t="str">
        <f t="shared" si="43"/>
        <v>Excelsa</v>
      </c>
      <c r="O959" s="10" t="str">
        <f t="shared" si="44"/>
        <v>Light</v>
      </c>
      <c r="P959" s="10" t="str">
        <f>_xlfn.XLOOKUP(Tableau1[[#This Row],[Customer ID]],customers!A$2:A$1001,customers!I$2:I$1001)</f>
        <v>Yes</v>
      </c>
    </row>
    <row r="960" spans="1:16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9" t="str">
        <f>_xlfn.XLOOKUP(orders!C960,customers!$A$2:$A$1001,customers!$B$2:$B$1001)</f>
        <v>Brenn Dundredge</v>
      </c>
      <c r="G960" s="9" t="str">
        <f>IF(_xlfn.XLOOKUP(orders!C960,customers!$A$2:$A$1001,customers!$C$2:$C$1001,,,)=0,"",_xlfn.XLOOKUP(orders!C960,customers!$A$2:$A$1001,customers!$C$2:$C$1001,,,))</f>
        <v/>
      </c>
      <c r="H960" s="9" t="str">
        <f>_xlfn.XLOOKUP(C960,customers!$A$2:$A$1001,customers!$G$2:$G$1001,"")</f>
        <v>United States</v>
      </c>
      <c r="I960" s="10" t="str">
        <f>INDEX(products!$A$2:$G$49,MATCH(orders!$D960,products!$A$2:$A$49,0),MATCH(orders!I$1,products!$A$1:$G$1,0))</f>
        <v>Ara</v>
      </c>
      <c r="J960" s="10" t="str">
        <f>INDEX(products!$A$2:$G$49,MATCH(orders!$D960,products!$A$2:$A$49,0),MATCH(orders!J$1,products!$A$1:$G$1,0))</f>
        <v>L</v>
      </c>
      <c r="K960" s="11">
        <f>INDEX(products!$A$2:$G$49,MATCH(orders!$D960,products!$A$2:$A$49,0),MATCH(orders!K$1,products!$A$1:$G$1,0))</f>
        <v>0.2</v>
      </c>
      <c r="L960" s="12">
        <f>INDEX(products!$A$2:$G$49,MATCH(orders!$D960,products!$A$2:$A$49,0),MATCH(orders!L$1,products!$A$1:$G$1,0))</f>
        <v>3.8849999999999998</v>
      </c>
      <c r="M960" s="12">
        <f t="shared" si="42"/>
        <v>7.77</v>
      </c>
      <c r="N960" s="10" t="str">
        <f t="shared" si="43"/>
        <v>Arabica</v>
      </c>
      <c r="O960" s="10" t="str">
        <f t="shared" si="44"/>
        <v>Light</v>
      </c>
      <c r="P960" s="10" t="str">
        <f>_xlfn.XLOOKUP(Tableau1[[#This Row],[Customer ID]],customers!A$2:A$1001,customers!I$2:I$1001)</f>
        <v>Yes</v>
      </c>
    </row>
    <row r="961" spans="1:16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9" t="str">
        <f>_xlfn.XLOOKUP(orders!C961,customers!$A$2:$A$1001,customers!$B$2:$B$1001)</f>
        <v>Rhodie Strathern</v>
      </c>
      <c r="G961" s="9" t="str">
        <f>IF(_xlfn.XLOOKUP(orders!C961,customers!$A$2:$A$1001,customers!$C$2:$C$1001,,,)=0,"",_xlfn.XLOOKUP(orders!C961,customers!$A$2:$A$1001,customers!$C$2:$C$1001,,,))</f>
        <v>rstrathernqn@devhub.com</v>
      </c>
      <c r="H961" s="9" t="str">
        <f>_xlfn.XLOOKUP(C961,customers!$A$2:$A$1001,customers!$G$2:$G$1001,"")</f>
        <v>United States</v>
      </c>
      <c r="I961" s="10" t="str">
        <f>INDEX(products!$A$2:$G$49,MATCH(orders!$D961,products!$A$2:$A$49,0),MATCH(orders!I$1,products!$A$1:$G$1,0))</f>
        <v>Lib</v>
      </c>
      <c r="J961" s="10" t="str">
        <f>INDEX(products!$A$2:$G$49,MATCH(orders!$D961,products!$A$2:$A$49,0),MATCH(orders!J$1,products!$A$1:$G$1,0))</f>
        <v>L</v>
      </c>
      <c r="K961" s="11">
        <f>INDEX(products!$A$2:$G$49,MATCH(orders!$D961,products!$A$2:$A$49,0),MATCH(orders!K$1,products!$A$1:$G$1,0))</f>
        <v>0.2</v>
      </c>
      <c r="L961" s="12">
        <f>INDEX(products!$A$2:$G$49,MATCH(orders!$D961,products!$A$2:$A$49,0),MATCH(orders!L$1,products!$A$1:$G$1,0))</f>
        <v>4.7549999999999999</v>
      </c>
      <c r="M961" s="12">
        <f t="shared" si="42"/>
        <v>23.774999999999999</v>
      </c>
      <c r="N961" s="10" t="str">
        <f t="shared" si="43"/>
        <v>Liberica</v>
      </c>
      <c r="O961" s="10" t="str">
        <f t="shared" si="44"/>
        <v>Light</v>
      </c>
      <c r="P961" s="10" t="str">
        <f>_xlfn.XLOOKUP(Tableau1[[#This Row],[Customer ID]],customers!A$2:A$1001,customers!I$2:I$1001)</f>
        <v>Yes</v>
      </c>
    </row>
    <row r="962" spans="1:16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9" t="str">
        <f>_xlfn.XLOOKUP(orders!C962,customers!$A$2:$A$1001,customers!$B$2:$B$1001)</f>
        <v>Chad Miguel</v>
      </c>
      <c r="G962" s="9" t="str">
        <f>IF(_xlfn.XLOOKUP(orders!C962,customers!$A$2:$A$1001,customers!$C$2:$C$1001,,,)=0,"",_xlfn.XLOOKUP(orders!C962,customers!$A$2:$A$1001,customers!$C$2:$C$1001,,,))</f>
        <v>cmiguelqo@exblog.jp</v>
      </c>
      <c r="H962" s="9" t="str">
        <f>_xlfn.XLOOKUP(C962,customers!$A$2:$A$1001,customers!$G$2:$G$1001,"")</f>
        <v>United States</v>
      </c>
      <c r="I962" s="10" t="str">
        <f>INDEX(products!$A$2:$G$49,MATCH(orders!$D962,products!$A$2:$A$49,0),MATCH(orders!I$1,products!$A$1:$G$1,0))</f>
        <v>Lib</v>
      </c>
      <c r="J962" s="10" t="str">
        <f>INDEX(products!$A$2:$G$49,MATCH(orders!$D962,products!$A$2:$A$49,0),MATCH(orders!J$1,products!$A$1:$G$1,0))</f>
        <v>L</v>
      </c>
      <c r="K962" s="11">
        <f>INDEX(products!$A$2:$G$49,MATCH(orders!$D962,products!$A$2:$A$49,0),MATCH(orders!K$1,products!$A$1:$G$1,0))</f>
        <v>1</v>
      </c>
      <c r="L962" s="12">
        <f>INDEX(products!$A$2:$G$49,MATCH(orders!$D962,products!$A$2:$A$49,0),MATCH(orders!L$1,products!$A$1:$G$1,0))</f>
        <v>15.85</v>
      </c>
      <c r="M962" s="12">
        <f t="shared" si="42"/>
        <v>79.25</v>
      </c>
      <c r="N962" s="10" t="str">
        <f t="shared" si="43"/>
        <v>Liberica</v>
      </c>
      <c r="O962" s="10" t="str">
        <f t="shared" si="44"/>
        <v>Light</v>
      </c>
      <c r="P962" s="10" t="str">
        <f>_xlfn.XLOOKUP(Tableau1[[#This Row],[Customer ID]],customers!A$2:A$1001,customers!I$2:I$1001)</f>
        <v>Yes</v>
      </c>
    </row>
    <row r="963" spans="1:16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9" t="str">
        <f>_xlfn.XLOOKUP(orders!C963,customers!$A$2:$A$1001,customers!$B$2:$B$1001)</f>
        <v>Florinda Matusovsky</v>
      </c>
      <c r="G963" s="9" t="str">
        <f>IF(_xlfn.XLOOKUP(orders!C963,customers!$A$2:$A$1001,customers!$C$2:$C$1001,,,)=0,"",_xlfn.XLOOKUP(orders!C963,customers!$A$2:$A$1001,customers!$C$2:$C$1001,,,))</f>
        <v/>
      </c>
      <c r="H963" s="9" t="str">
        <f>_xlfn.XLOOKUP(C963,customers!$A$2:$A$1001,customers!$G$2:$G$1001,"")</f>
        <v>United States</v>
      </c>
      <c r="I963" s="10" t="str">
        <f>INDEX(products!$A$2:$G$49,MATCH(orders!$D963,products!$A$2:$A$49,0),MATCH(orders!I$1,products!$A$1:$G$1,0))</f>
        <v>Ara</v>
      </c>
      <c r="J963" s="10" t="str">
        <f>INDEX(products!$A$2:$G$49,MATCH(orders!$D963,products!$A$2:$A$49,0),MATCH(orders!J$1,products!$A$1:$G$1,0))</f>
        <v>D</v>
      </c>
      <c r="K963" s="11">
        <f>INDEX(products!$A$2:$G$49,MATCH(orders!$D963,products!$A$2:$A$49,0),MATCH(orders!K$1,products!$A$1:$G$1,0))</f>
        <v>2.5</v>
      </c>
      <c r="L963" s="12">
        <f>INDEX(products!$A$2:$G$49,MATCH(orders!$D963,products!$A$2:$A$49,0),MATCH(orders!L$1,products!$A$1:$G$1,0))</f>
        <v>22.884999999999998</v>
      </c>
      <c r="M963" s="12">
        <f t="shared" ref="M963:M1001" si="45">L963*E963</f>
        <v>45.769999999999996</v>
      </c>
      <c r="N963" s="10" t="str">
        <f t="shared" ref="N963:N1001" si="46">IF(I963="Rob","Robusta",IF(I963="Exc","Excelsa",IF(I963="Ara","Arabica",IF(I963="Lib","Liberica"))))</f>
        <v>Arabica</v>
      </c>
      <c r="O963" s="10" t="str">
        <f t="shared" ref="O963:O1001" si="47">IF(J963="M","Medium",IF(J963="L","Light",IF(J963="D","Dark")))</f>
        <v>Dark</v>
      </c>
      <c r="P963" s="10" t="str">
        <f>_xlfn.XLOOKUP(Tableau1[[#This Row],[Customer ID]],customers!A$2:A$1001,customers!I$2:I$1001)</f>
        <v>Yes</v>
      </c>
    </row>
    <row r="964" spans="1:16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9" t="str">
        <f>_xlfn.XLOOKUP(orders!C964,customers!$A$2:$A$1001,customers!$B$2:$B$1001)</f>
        <v>Morly Rocks</v>
      </c>
      <c r="G964" s="9" t="str">
        <f>IF(_xlfn.XLOOKUP(orders!C964,customers!$A$2:$A$1001,customers!$C$2:$C$1001,,,)=0,"",_xlfn.XLOOKUP(orders!C964,customers!$A$2:$A$1001,customers!$C$2:$C$1001,,,))</f>
        <v>mrocksqq@exblog.jp</v>
      </c>
      <c r="H964" s="9" t="str">
        <f>_xlfn.XLOOKUP(C964,customers!$A$2:$A$1001,customers!$G$2:$G$1001,"")</f>
        <v>Ireland</v>
      </c>
      <c r="I964" s="10" t="str">
        <f>INDEX(products!$A$2:$G$49,MATCH(orders!$D964,products!$A$2:$A$49,0),MATCH(orders!I$1,products!$A$1:$G$1,0))</f>
        <v>Rob</v>
      </c>
      <c r="J964" s="10" t="str">
        <f>INDEX(products!$A$2:$G$49,MATCH(orders!$D964,products!$A$2:$A$49,0),MATCH(orders!J$1,products!$A$1:$G$1,0))</f>
        <v>D</v>
      </c>
      <c r="K964" s="11">
        <f>INDEX(products!$A$2:$G$49,MATCH(orders!$D964,products!$A$2:$A$49,0),MATCH(orders!K$1,products!$A$1:$G$1,0))</f>
        <v>1</v>
      </c>
      <c r="L964" s="12">
        <f>INDEX(products!$A$2:$G$49,MATCH(orders!$D964,products!$A$2:$A$49,0),MATCH(orders!L$1,products!$A$1:$G$1,0))</f>
        <v>8.9499999999999993</v>
      </c>
      <c r="M964" s="12">
        <f t="shared" si="45"/>
        <v>8.9499999999999993</v>
      </c>
      <c r="N964" s="10" t="str">
        <f t="shared" si="46"/>
        <v>Robusta</v>
      </c>
      <c r="O964" s="10" t="str">
        <f t="shared" si="47"/>
        <v>Dark</v>
      </c>
      <c r="P964" s="10" t="str">
        <f>_xlfn.XLOOKUP(Tableau1[[#This Row],[Customer ID]],customers!A$2:A$1001,customers!I$2:I$1001)</f>
        <v>Yes</v>
      </c>
    </row>
    <row r="965" spans="1:16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9" t="str">
        <f>_xlfn.XLOOKUP(orders!C965,customers!$A$2:$A$1001,customers!$B$2:$B$1001)</f>
        <v>Yuri Burrells</v>
      </c>
      <c r="G965" s="9" t="str">
        <f>IF(_xlfn.XLOOKUP(orders!C965,customers!$A$2:$A$1001,customers!$C$2:$C$1001,,,)=0,"",_xlfn.XLOOKUP(orders!C965,customers!$A$2:$A$1001,customers!$C$2:$C$1001,,,))</f>
        <v>yburrellsqr@vinaora.com</v>
      </c>
      <c r="H965" s="9" t="str">
        <f>_xlfn.XLOOKUP(C965,customers!$A$2:$A$1001,customers!$G$2:$G$1001,"")</f>
        <v>United States</v>
      </c>
      <c r="I965" s="10" t="str">
        <f>INDEX(products!$A$2:$G$49,MATCH(orders!$D965,products!$A$2:$A$49,0),MATCH(orders!I$1,products!$A$1:$G$1,0))</f>
        <v>Rob</v>
      </c>
      <c r="J965" s="10" t="str">
        <f>INDEX(products!$A$2:$G$49,MATCH(orders!$D965,products!$A$2:$A$49,0),MATCH(orders!J$1,products!$A$1:$G$1,0))</f>
        <v>M</v>
      </c>
      <c r="K965" s="11">
        <f>INDEX(products!$A$2:$G$49,MATCH(orders!$D965,products!$A$2:$A$49,0),MATCH(orders!K$1,products!$A$1:$G$1,0))</f>
        <v>0.5</v>
      </c>
      <c r="L965" s="12">
        <f>INDEX(products!$A$2:$G$49,MATCH(orders!$D965,products!$A$2:$A$49,0),MATCH(orders!L$1,products!$A$1:$G$1,0))</f>
        <v>5.97</v>
      </c>
      <c r="M965" s="12">
        <f t="shared" si="45"/>
        <v>23.88</v>
      </c>
      <c r="N965" s="10" t="str">
        <f t="shared" si="46"/>
        <v>Robusta</v>
      </c>
      <c r="O965" s="10" t="str">
        <f t="shared" si="47"/>
        <v>Medium</v>
      </c>
      <c r="P965" s="10" t="str">
        <f>_xlfn.XLOOKUP(Tableau1[[#This Row],[Customer ID]],customers!A$2:A$1001,customers!I$2:I$1001)</f>
        <v>Yes</v>
      </c>
    </row>
    <row r="966" spans="1:16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9" t="str">
        <f>_xlfn.XLOOKUP(orders!C966,customers!$A$2:$A$1001,customers!$B$2:$B$1001)</f>
        <v>Cleopatra Goodrum</v>
      </c>
      <c r="G966" s="9" t="str">
        <f>IF(_xlfn.XLOOKUP(orders!C966,customers!$A$2:$A$1001,customers!$C$2:$C$1001,,,)=0,"",_xlfn.XLOOKUP(orders!C966,customers!$A$2:$A$1001,customers!$C$2:$C$1001,,,))</f>
        <v>cgoodrumqs@goodreads.com</v>
      </c>
      <c r="H966" s="9" t="str">
        <f>_xlfn.XLOOKUP(C966,customers!$A$2:$A$1001,customers!$G$2:$G$1001,"")</f>
        <v>United States</v>
      </c>
      <c r="I966" s="10" t="str">
        <f>INDEX(products!$A$2:$G$49,MATCH(orders!$D966,products!$A$2:$A$49,0),MATCH(orders!I$1,products!$A$1:$G$1,0))</f>
        <v>Exc</v>
      </c>
      <c r="J966" s="10" t="str">
        <f>INDEX(products!$A$2:$G$49,MATCH(orders!$D966,products!$A$2:$A$49,0),MATCH(orders!J$1,products!$A$1:$G$1,0))</f>
        <v>L</v>
      </c>
      <c r="K966" s="11">
        <f>INDEX(products!$A$2:$G$49,MATCH(orders!$D966,products!$A$2:$A$49,0),MATCH(orders!K$1,products!$A$1:$G$1,0))</f>
        <v>0.2</v>
      </c>
      <c r="L966" s="12">
        <f>INDEX(products!$A$2:$G$49,MATCH(orders!$D966,products!$A$2:$A$49,0),MATCH(orders!L$1,products!$A$1:$G$1,0))</f>
        <v>4.4550000000000001</v>
      </c>
      <c r="M966" s="12">
        <f t="shared" si="45"/>
        <v>22.274999999999999</v>
      </c>
      <c r="N966" s="10" t="str">
        <f t="shared" si="46"/>
        <v>Excelsa</v>
      </c>
      <c r="O966" s="10" t="str">
        <f t="shared" si="47"/>
        <v>Light</v>
      </c>
      <c r="P966" s="10" t="str">
        <f>_xlfn.XLOOKUP(Tableau1[[#This Row],[Customer ID]],customers!A$2:A$1001,customers!I$2:I$1001)</f>
        <v>No</v>
      </c>
    </row>
    <row r="967" spans="1:16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9" t="str">
        <f>_xlfn.XLOOKUP(orders!C967,customers!$A$2:$A$1001,customers!$B$2:$B$1001)</f>
        <v>Joey Jefferys</v>
      </c>
      <c r="G967" s="9" t="str">
        <f>IF(_xlfn.XLOOKUP(orders!C967,customers!$A$2:$A$1001,customers!$C$2:$C$1001,,,)=0,"",_xlfn.XLOOKUP(orders!C967,customers!$A$2:$A$1001,customers!$C$2:$C$1001,,,))</f>
        <v>jjefferysqt@blog.com</v>
      </c>
      <c r="H967" s="9" t="str">
        <f>_xlfn.XLOOKUP(C967,customers!$A$2:$A$1001,customers!$G$2:$G$1001,"")</f>
        <v>United States</v>
      </c>
      <c r="I967" s="10" t="str">
        <f>INDEX(products!$A$2:$G$49,MATCH(orders!$D967,products!$A$2:$A$49,0),MATCH(orders!I$1,products!$A$1:$G$1,0))</f>
        <v>Rob</v>
      </c>
      <c r="J967" s="10" t="str">
        <f>INDEX(products!$A$2:$G$49,MATCH(orders!$D967,products!$A$2:$A$49,0),MATCH(orders!J$1,products!$A$1:$G$1,0))</f>
        <v>M</v>
      </c>
      <c r="K967" s="11">
        <f>INDEX(products!$A$2:$G$49,MATCH(orders!$D967,products!$A$2:$A$49,0),MATCH(orders!K$1,products!$A$1:$G$1,0))</f>
        <v>1</v>
      </c>
      <c r="L967" s="12">
        <f>INDEX(products!$A$2:$G$49,MATCH(orders!$D967,products!$A$2:$A$49,0),MATCH(orders!L$1,products!$A$1:$G$1,0))</f>
        <v>9.9499999999999993</v>
      </c>
      <c r="M967" s="12">
        <f t="shared" si="45"/>
        <v>29.849999999999998</v>
      </c>
      <c r="N967" s="10" t="str">
        <f t="shared" si="46"/>
        <v>Robusta</v>
      </c>
      <c r="O967" s="10" t="str">
        <f t="shared" si="47"/>
        <v>Medium</v>
      </c>
      <c r="P967" s="10" t="str">
        <f>_xlfn.XLOOKUP(Tableau1[[#This Row],[Customer ID]],customers!A$2:A$1001,customers!I$2:I$1001)</f>
        <v>Yes</v>
      </c>
    </row>
    <row r="968" spans="1:16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9" t="str">
        <f>_xlfn.XLOOKUP(orders!C968,customers!$A$2:$A$1001,customers!$B$2:$B$1001)</f>
        <v>Bearnard Wardell</v>
      </c>
      <c r="G968" s="9" t="str">
        <f>IF(_xlfn.XLOOKUP(orders!C968,customers!$A$2:$A$1001,customers!$C$2:$C$1001,,,)=0,"",_xlfn.XLOOKUP(orders!C968,customers!$A$2:$A$1001,customers!$C$2:$C$1001,,,))</f>
        <v>bwardellqu@adobe.com</v>
      </c>
      <c r="H968" s="9" t="str">
        <f>_xlfn.XLOOKUP(C968,customers!$A$2:$A$1001,customers!$G$2:$G$1001,"")</f>
        <v>United States</v>
      </c>
      <c r="I968" s="10" t="str">
        <f>INDEX(products!$A$2:$G$49,MATCH(orders!$D968,products!$A$2:$A$49,0),MATCH(orders!I$1,products!$A$1:$G$1,0))</f>
        <v>Exc</v>
      </c>
      <c r="J968" s="10" t="str">
        <f>INDEX(products!$A$2:$G$49,MATCH(orders!$D968,products!$A$2:$A$49,0),MATCH(orders!J$1,products!$A$1:$G$1,0))</f>
        <v>L</v>
      </c>
      <c r="K968" s="11">
        <f>INDEX(products!$A$2:$G$49,MATCH(orders!$D968,products!$A$2:$A$49,0),MATCH(orders!K$1,products!$A$1:$G$1,0))</f>
        <v>0.5</v>
      </c>
      <c r="L968" s="12">
        <f>INDEX(products!$A$2:$G$49,MATCH(orders!$D968,products!$A$2:$A$49,0),MATCH(orders!L$1,products!$A$1:$G$1,0))</f>
        <v>8.91</v>
      </c>
      <c r="M968" s="12">
        <f t="shared" si="45"/>
        <v>53.46</v>
      </c>
      <c r="N968" s="10" t="str">
        <f t="shared" si="46"/>
        <v>Excelsa</v>
      </c>
      <c r="O968" s="10" t="str">
        <f t="shared" si="47"/>
        <v>Light</v>
      </c>
      <c r="P968" s="10" t="str">
        <f>_xlfn.XLOOKUP(Tableau1[[#This Row],[Customer ID]],customers!A$2:A$1001,customers!I$2:I$1001)</f>
        <v>Yes</v>
      </c>
    </row>
    <row r="969" spans="1:16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9" t="str">
        <f>_xlfn.XLOOKUP(orders!C969,customers!$A$2:$A$1001,customers!$B$2:$B$1001)</f>
        <v>Zeke Walisiak</v>
      </c>
      <c r="G969" s="9" t="str">
        <f>IF(_xlfn.XLOOKUP(orders!C969,customers!$A$2:$A$1001,customers!$C$2:$C$1001,,,)=0,"",_xlfn.XLOOKUP(orders!C969,customers!$A$2:$A$1001,customers!$C$2:$C$1001,,,))</f>
        <v>zwalisiakqv@ucsd.edu</v>
      </c>
      <c r="H969" s="9" t="str">
        <f>_xlfn.XLOOKUP(C969,customers!$A$2:$A$1001,customers!$G$2:$G$1001,"")</f>
        <v>Ireland</v>
      </c>
      <c r="I969" s="10" t="str">
        <f>INDEX(products!$A$2:$G$49,MATCH(orders!$D969,products!$A$2:$A$49,0),MATCH(orders!I$1,products!$A$1:$G$1,0))</f>
        <v>Rob</v>
      </c>
      <c r="J969" s="10" t="str">
        <f>INDEX(products!$A$2:$G$49,MATCH(orders!$D969,products!$A$2:$A$49,0),MATCH(orders!J$1,products!$A$1:$G$1,0))</f>
        <v>D</v>
      </c>
      <c r="K969" s="11">
        <f>INDEX(products!$A$2:$G$49,MATCH(orders!$D969,products!$A$2:$A$49,0),MATCH(orders!K$1,products!$A$1:$G$1,0))</f>
        <v>0.2</v>
      </c>
      <c r="L969" s="12">
        <f>INDEX(products!$A$2:$G$49,MATCH(orders!$D969,products!$A$2:$A$49,0),MATCH(orders!L$1,products!$A$1:$G$1,0))</f>
        <v>2.6849999999999996</v>
      </c>
      <c r="M969" s="12">
        <f t="shared" si="45"/>
        <v>2.6849999999999996</v>
      </c>
      <c r="N969" s="10" t="str">
        <f t="shared" si="46"/>
        <v>Robusta</v>
      </c>
      <c r="O969" s="10" t="str">
        <f t="shared" si="47"/>
        <v>Dark</v>
      </c>
      <c r="P969" s="10" t="str">
        <f>_xlfn.XLOOKUP(Tableau1[[#This Row],[Customer ID]],customers!A$2:A$1001,customers!I$2:I$1001)</f>
        <v>Yes</v>
      </c>
    </row>
    <row r="970" spans="1:16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9" t="str">
        <f>_xlfn.XLOOKUP(orders!C970,customers!$A$2:$A$1001,customers!$B$2:$B$1001)</f>
        <v>Wiley Leopold</v>
      </c>
      <c r="G970" s="9" t="str">
        <f>IF(_xlfn.XLOOKUP(orders!C970,customers!$A$2:$A$1001,customers!$C$2:$C$1001,,,)=0,"",_xlfn.XLOOKUP(orders!C970,customers!$A$2:$A$1001,customers!$C$2:$C$1001,,,))</f>
        <v>wleopoldqw@blogspot.com</v>
      </c>
      <c r="H970" s="9" t="str">
        <f>_xlfn.XLOOKUP(C970,customers!$A$2:$A$1001,customers!$G$2:$G$1001,"")</f>
        <v>United States</v>
      </c>
      <c r="I970" s="10" t="str">
        <f>INDEX(products!$A$2:$G$49,MATCH(orders!$D970,products!$A$2:$A$49,0),MATCH(orders!I$1,products!$A$1:$G$1,0))</f>
        <v>Rob</v>
      </c>
      <c r="J970" s="10" t="str">
        <f>INDEX(products!$A$2:$G$49,MATCH(orders!$D970,products!$A$2:$A$49,0),MATCH(orders!J$1,products!$A$1:$G$1,0))</f>
        <v>M</v>
      </c>
      <c r="K970" s="11">
        <f>INDEX(products!$A$2:$G$49,MATCH(orders!$D970,products!$A$2:$A$49,0),MATCH(orders!K$1,products!$A$1:$G$1,0))</f>
        <v>0.2</v>
      </c>
      <c r="L970" s="12">
        <f>INDEX(products!$A$2:$G$49,MATCH(orders!$D970,products!$A$2:$A$49,0),MATCH(orders!L$1,products!$A$1:$G$1,0))</f>
        <v>2.9849999999999999</v>
      </c>
      <c r="M970" s="12">
        <f t="shared" si="45"/>
        <v>5.97</v>
      </c>
      <c r="N970" s="10" t="str">
        <f t="shared" si="46"/>
        <v>Robusta</v>
      </c>
      <c r="O970" s="10" t="str">
        <f t="shared" si="47"/>
        <v>Medium</v>
      </c>
      <c r="P970" s="10" t="str">
        <f>_xlfn.XLOOKUP(Tableau1[[#This Row],[Customer ID]],customers!A$2:A$1001,customers!I$2:I$1001)</f>
        <v>No</v>
      </c>
    </row>
    <row r="971" spans="1:16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9" t="str">
        <f>_xlfn.XLOOKUP(orders!C971,customers!$A$2:$A$1001,customers!$B$2:$B$1001)</f>
        <v>Chiarra Shalders</v>
      </c>
      <c r="G971" s="9" t="str">
        <f>IF(_xlfn.XLOOKUP(orders!C971,customers!$A$2:$A$1001,customers!$C$2:$C$1001,,,)=0,"",_xlfn.XLOOKUP(orders!C971,customers!$A$2:$A$1001,customers!$C$2:$C$1001,,,))</f>
        <v>cshaldersqx@cisco.com</v>
      </c>
      <c r="H971" s="9" t="str">
        <f>_xlfn.XLOOKUP(C971,customers!$A$2:$A$1001,customers!$G$2:$G$1001,"")</f>
        <v>United States</v>
      </c>
      <c r="I971" s="10" t="str">
        <f>INDEX(products!$A$2:$G$49,MATCH(orders!$D971,products!$A$2:$A$49,0),MATCH(orders!I$1,products!$A$1:$G$1,0))</f>
        <v>Lib</v>
      </c>
      <c r="J971" s="10" t="str">
        <f>INDEX(products!$A$2:$G$49,MATCH(orders!$D971,products!$A$2:$A$49,0),MATCH(orders!J$1,products!$A$1:$G$1,0))</f>
        <v>D</v>
      </c>
      <c r="K971" s="11">
        <f>INDEX(products!$A$2:$G$49,MATCH(orders!$D971,products!$A$2:$A$49,0),MATCH(orders!K$1,products!$A$1:$G$1,0))</f>
        <v>1</v>
      </c>
      <c r="L971" s="12">
        <f>INDEX(products!$A$2:$G$49,MATCH(orders!$D971,products!$A$2:$A$49,0),MATCH(orders!L$1,products!$A$1:$G$1,0))</f>
        <v>12.95</v>
      </c>
      <c r="M971" s="12">
        <f t="shared" si="45"/>
        <v>12.95</v>
      </c>
      <c r="N971" s="10" t="str">
        <f t="shared" si="46"/>
        <v>Liberica</v>
      </c>
      <c r="O971" s="10" t="str">
        <f t="shared" si="47"/>
        <v>Dark</v>
      </c>
      <c r="P971" s="10" t="str">
        <f>_xlfn.XLOOKUP(Tableau1[[#This Row],[Customer ID]],customers!A$2:A$1001,customers!I$2:I$1001)</f>
        <v>Yes</v>
      </c>
    </row>
    <row r="972" spans="1:16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9" t="str">
        <f>_xlfn.XLOOKUP(orders!C972,customers!$A$2:$A$1001,customers!$B$2:$B$1001)</f>
        <v>Sharl Southerill</v>
      </c>
      <c r="G972" s="9" t="str">
        <f>IF(_xlfn.XLOOKUP(orders!C972,customers!$A$2:$A$1001,customers!$C$2:$C$1001,,,)=0,"",_xlfn.XLOOKUP(orders!C972,customers!$A$2:$A$1001,customers!$C$2:$C$1001,,,))</f>
        <v/>
      </c>
      <c r="H972" s="9" t="str">
        <f>_xlfn.XLOOKUP(C972,customers!$A$2:$A$1001,customers!$G$2:$G$1001,"")</f>
        <v>United States</v>
      </c>
      <c r="I972" s="10" t="str">
        <f>INDEX(products!$A$2:$G$49,MATCH(orders!$D972,products!$A$2:$A$49,0),MATCH(orders!I$1,products!$A$1:$G$1,0))</f>
        <v>Exc</v>
      </c>
      <c r="J972" s="10" t="str">
        <f>INDEX(products!$A$2:$G$49,MATCH(orders!$D972,products!$A$2:$A$49,0),MATCH(orders!J$1,products!$A$1:$G$1,0))</f>
        <v>M</v>
      </c>
      <c r="K972" s="11">
        <f>INDEX(products!$A$2:$G$49,MATCH(orders!$D972,products!$A$2:$A$49,0),MATCH(orders!K$1,products!$A$1:$G$1,0))</f>
        <v>0.5</v>
      </c>
      <c r="L972" s="12">
        <f>INDEX(products!$A$2:$G$49,MATCH(orders!$D972,products!$A$2:$A$49,0),MATCH(orders!L$1,products!$A$1:$G$1,0))</f>
        <v>8.25</v>
      </c>
      <c r="M972" s="12">
        <f t="shared" si="45"/>
        <v>8.25</v>
      </c>
      <c r="N972" s="10" t="str">
        <f t="shared" si="46"/>
        <v>Excelsa</v>
      </c>
      <c r="O972" s="10" t="str">
        <f t="shared" si="47"/>
        <v>Medium</v>
      </c>
      <c r="P972" s="10" t="str">
        <f>_xlfn.XLOOKUP(Tableau1[[#This Row],[Customer ID]],customers!A$2:A$1001,customers!I$2:I$1001)</f>
        <v>No</v>
      </c>
    </row>
    <row r="973" spans="1:16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9" t="str">
        <f>_xlfn.XLOOKUP(orders!C973,customers!$A$2:$A$1001,customers!$B$2:$B$1001)</f>
        <v>Noni Furber</v>
      </c>
      <c r="G973" s="9" t="str">
        <f>IF(_xlfn.XLOOKUP(orders!C973,customers!$A$2:$A$1001,customers!$C$2:$C$1001,,,)=0,"",_xlfn.XLOOKUP(orders!C973,customers!$A$2:$A$1001,customers!$C$2:$C$1001,,,))</f>
        <v>nfurberqz@jugem.jp</v>
      </c>
      <c r="H973" s="9" t="str">
        <f>_xlfn.XLOOKUP(C973,customers!$A$2:$A$1001,customers!$G$2:$G$1001,"")</f>
        <v>United States</v>
      </c>
      <c r="I973" s="10" t="str">
        <f>INDEX(products!$A$2:$G$49,MATCH(orders!$D973,products!$A$2:$A$49,0),MATCH(orders!I$1,products!$A$1:$G$1,0))</f>
        <v>Ara</v>
      </c>
      <c r="J973" s="10" t="str">
        <f>INDEX(products!$A$2:$G$49,MATCH(orders!$D973,products!$A$2:$A$49,0),MATCH(orders!J$1,products!$A$1:$G$1,0))</f>
        <v>L</v>
      </c>
      <c r="K973" s="11">
        <f>INDEX(products!$A$2:$G$49,MATCH(orders!$D973,products!$A$2:$A$49,0),MATCH(orders!K$1,products!$A$1:$G$1,0))</f>
        <v>2.5</v>
      </c>
      <c r="L973" s="12">
        <f>INDEX(products!$A$2:$G$49,MATCH(orders!$D973,products!$A$2:$A$49,0),MATCH(orders!L$1,products!$A$1:$G$1,0))</f>
        <v>29.784999999999997</v>
      </c>
      <c r="M973" s="12">
        <f t="shared" si="45"/>
        <v>148.92499999999998</v>
      </c>
      <c r="N973" s="10" t="str">
        <f t="shared" si="46"/>
        <v>Arabica</v>
      </c>
      <c r="O973" s="10" t="str">
        <f t="shared" si="47"/>
        <v>Light</v>
      </c>
      <c r="P973" s="10" t="str">
        <f>_xlfn.XLOOKUP(Tableau1[[#This Row],[Customer ID]],customers!A$2:A$1001,customers!I$2:I$1001)</f>
        <v>No</v>
      </c>
    </row>
    <row r="974" spans="1:16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9" t="str">
        <f>_xlfn.XLOOKUP(orders!C974,customers!$A$2:$A$1001,customers!$B$2:$B$1001)</f>
        <v>Dinah Crutcher</v>
      </c>
      <c r="G974" s="9" t="str">
        <f>IF(_xlfn.XLOOKUP(orders!C974,customers!$A$2:$A$1001,customers!$C$2:$C$1001,,,)=0,"",_xlfn.XLOOKUP(orders!C974,customers!$A$2:$A$1001,customers!$C$2:$C$1001,,,))</f>
        <v/>
      </c>
      <c r="H974" s="9" t="str">
        <f>_xlfn.XLOOKUP(C974,customers!$A$2:$A$1001,customers!$G$2:$G$1001,"")</f>
        <v>Ireland</v>
      </c>
      <c r="I974" s="10" t="str">
        <f>INDEX(products!$A$2:$G$49,MATCH(orders!$D974,products!$A$2:$A$49,0),MATCH(orders!I$1,products!$A$1:$G$1,0))</f>
        <v>Ara</v>
      </c>
      <c r="J974" s="10" t="str">
        <f>INDEX(products!$A$2:$G$49,MATCH(orders!$D974,products!$A$2:$A$49,0),MATCH(orders!J$1,products!$A$1:$G$1,0))</f>
        <v>L</v>
      </c>
      <c r="K974" s="11">
        <f>INDEX(products!$A$2:$G$49,MATCH(orders!$D974,products!$A$2:$A$49,0),MATCH(orders!K$1,products!$A$1:$G$1,0))</f>
        <v>2.5</v>
      </c>
      <c r="L974" s="12">
        <f>INDEX(products!$A$2:$G$49,MATCH(orders!$D974,products!$A$2:$A$49,0),MATCH(orders!L$1,products!$A$1:$G$1,0))</f>
        <v>29.784999999999997</v>
      </c>
      <c r="M974" s="12">
        <f t="shared" si="45"/>
        <v>89.35499999999999</v>
      </c>
      <c r="N974" s="10" t="str">
        <f t="shared" si="46"/>
        <v>Arabica</v>
      </c>
      <c r="O974" s="10" t="str">
        <f t="shared" si="47"/>
        <v>Light</v>
      </c>
      <c r="P974" s="10" t="str">
        <f>_xlfn.XLOOKUP(Tableau1[[#This Row],[Customer ID]],customers!A$2:A$1001,customers!I$2:I$1001)</f>
        <v>Yes</v>
      </c>
    </row>
    <row r="975" spans="1:16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9" t="str">
        <f>_xlfn.XLOOKUP(orders!C975,customers!$A$2:$A$1001,customers!$B$2:$B$1001)</f>
        <v>Charlean Keave</v>
      </c>
      <c r="G975" s="9" t="str">
        <f>IF(_xlfn.XLOOKUP(orders!C975,customers!$A$2:$A$1001,customers!$C$2:$C$1001,,,)=0,"",_xlfn.XLOOKUP(orders!C975,customers!$A$2:$A$1001,customers!$C$2:$C$1001,,,))</f>
        <v>ckeaver1@ucoz.com</v>
      </c>
      <c r="H975" s="9" t="str">
        <f>_xlfn.XLOOKUP(C975,customers!$A$2:$A$1001,customers!$G$2:$G$1001,"")</f>
        <v>United States</v>
      </c>
      <c r="I975" s="10" t="str">
        <f>INDEX(products!$A$2:$G$49,MATCH(orders!$D975,products!$A$2:$A$49,0),MATCH(orders!I$1,products!$A$1:$G$1,0))</f>
        <v>Lib</v>
      </c>
      <c r="J975" s="10" t="str">
        <f>INDEX(products!$A$2:$G$49,MATCH(orders!$D975,products!$A$2:$A$49,0),MATCH(orders!J$1,products!$A$1:$G$1,0))</f>
        <v>M</v>
      </c>
      <c r="K975" s="11">
        <f>INDEX(products!$A$2:$G$49,MATCH(orders!$D975,products!$A$2:$A$49,0),MATCH(orders!K$1,products!$A$1:$G$1,0))</f>
        <v>1</v>
      </c>
      <c r="L975" s="12">
        <f>INDEX(products!$A$2:$G$49,MATCH(orders!$D975,products!$A$2:$A$49,0),MATCH(orders!L$1,products!$A$1:$G$1,0))</f>
        <v>14.55</v>
      </c>
      <c r="M975" s="12">
        <f t="shared" si="45"/>
        <v>87.300000000000011</v>
      </c>
      <c r="N975" s="10" t="str">
        <f t="shared" si="46"/>
        <v>Liberica</v>
      </c>
      <c r="O975" s="10" t="str">
        <f t="shared" si="47"/>
        <v>Medium</v>
      </c>
      <c r="P975" s="10" t="str">
        <f>_xlfn.XLOOKUP(Tableau1[[#This Row],[Customer ID]],customers!A$2:A$1001,customers!I$2:I$1001)</f>
        <v>No</v>
      </c>
    </row>
    <row r="976" spans="1:16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9" t="str">
        <f>_xlfn.XLOOKUP(orders!C976,customers!$A$2:$A$1001,customers!$B$2:$B$1001)</f>
        <v>Sada Roseborough</v>
      </c>
      <c r="G976" s="9" t="str">
        <f>IF(_xlfn.XLOOKUP(orders!C976,customers!$A$2:$A$1001,customers!$C$2:$C$1001,,,)=0,"",_xlfn.XLOOKUP(orders!C976,customers!$A$2:$A$1001,customers!$C$2:$C$1001,,,))</f>
        <v>sroseboroughr2@virginia.edu</v>
      </c>
      <c r="H976" s="9" t="str">
        <f>_xlfn.XLOOKUP(C976,customers!$A$2:$A$1001,customers!$G$2:$G$1001,"")</f>
        <v>United States</v>
      </c>
      <c r="I976" s="10" t="str">
        <f>INDEX(products!$A$2:$G$49,MATCH(orders!$D976,products!$A$2:$A$49,0),MATCH(orders!I$1,products!$A$1:$G$1,0))</f>
        <v>Rob</v>
      </c>
      <c r="J976" s="10" t="str">
        <f>INDEX(products!$A$2:$G$49,MATCH(orders!$D976,products!$A$2:$A$49,0),MATCH(orders!J$1,products!$A$1:$G$1,0))</f>
        <v>D</v>
      </c>
      <c r="K976" s="11">
        <f>INDEX(products!$A$2:$G$49,MATCH(orders!$D976,products!$A$2:$A$49,0),MATCH(orders!K$1,products!$A$1:$G$1,0))</f>
        <v>0.5</v>
      </c>
      <c r="L976" s="12">
        <f>INDEX(products!$A$2:$G$49,MATCH(orders!$D976,products!$A$2:$A$49,0),MATCH(orders!L$1,products!$A$1:$G$1,0))</f>
        <v>5.3699999999999992</v>
      </c>
      <c r="M976" s="12">
        <f t="shared" si="45"/>
        <v>5.3699999999999992</v>
      </c>
      <c r="N976" s="10" t="str">
        <f t="shared" si="46"/>
        <v>Robusta</v>
      </c>
      <c r="O976" s="10" t="str">
        <f t="shared" si="47"/>
        <v>Dark</v>
      </c>
      <c r="P976" s="10" t="str">
        <f>_xlfn.XLOOKUP(Tableau1[[#This Row],[Customer ID]],customers!A$2:A$1001,customers!I$2:I$1001)</f>
        <v>Yes</v>
      </c>
    </row>
    <row r="977" spans="1:16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9" t="str">
        <f>_xlfn.XLOOKUP(orders!C977,customers!$A$2:$A$1001,customers!$B$2:$B$1001)</f>
        <v>Clayton Kingwell</v>
      </c>
      <c r="G977" s="9" t="str">
        <f>IF(_xlfn.XLOOKUP(orders!C977,customers!$A$2:$A$1001,customers!$C$2:$C$1001,,,)=0,"",_xlfn.XLOOKUP(orders!C977,customers!$A$2:$A$1001,customers!$C$2:$C$1001,,,))</f>
        <v>ckingwellr3@squarespace.com</v>
      </c>
      <c r="H977" s="9" t="str">
        <f>_xlfn.XLOOKUP(C977,customers!$A$2:$A$1001,customers!$G$2:$G$1001,"")</f>
        <v>Ireland</v>
      </c>
      <c r="I977" s="10" t="str">
        <f>INDEX(products!$A$2:$G$49,MATCH(orders!$D977,products!$A$2:$A$49,0),MATCH(orders!I$1,products!$A$1:$G$1,0))</f>
        <v>Ara</v>
      </c>
      <c r="J977" s="10" t="str">
        <f>INDEX(products!$A$2:$G$49,MATCH(orders!$D977,products!$A$2:$A$49,0),MATCH(orders!J$1,products!$A$1:$G$1,0))</f>
        <v>D</v>
      </c>
      <c r="K977" s="11">
        <f>INDEX(products!$A$2:$G$49,MATCH(orders!$D977,products!$A$2:$A$49,0),MATCH(orders!K$1,products!$A$1:$G$1,0))</f>
        <v>0.2</v>
      </c>
      <c r="L977" s="12">
        <f>INDEX(products!$A$2:$G$49,MATCH(orders!$D977,products!$A$2:$A$49,0),MATCH(orders!L$1,products!$A$1:$G$1,0))</f>
        <v>2.9849999999999999</v>
      </c>
      <c r="M977" s="12">
        <f t="shared" si="45"/>
        <v>8.9550000000000001</v>
      </c>
      <c r="N977" s="10" t="str">
        <f t="shared" si="46"/>
        <v>Arabica</v>
      </c>
      <c r="O977" s="10" t="str">
        <f t="shared" si="47"/>
        <v>Dark</v>
      </c>
      <c r="P977" s="10" t="str">
        <f>_xlfn.XLOOKUP(Tableau1[[#This Row],[Customer ID]],customers!A$2:A$1001,customers!I$2:I$1001)</f>
        <v>Yes</v>
      </c>
    </row>
    <row r="978" spans="1:16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9" t="str">
        <f>_xlfn.XLOOKUP(orders!C978,customers!$A$2:$A$1001,customers!$B$2:$B$1001)</f>
        <v>Kacy Canto</v>
      </c>
      <c r="G978" s="9" t="str">
        <f>IF(_xlfn.XLOOKUP(orders!C978,customers!$A$2:$A$1001,customers!$C$2:$C$1001,,,)=0,"",_xlfn.XLOOKUP(orders!C978,customers!$A$2:$A$1001,customers!$C$2:$C$1001,,,))</f>
        <v>kcantor4@gmpg.org</v>
      </c>
      <c r="H978" s="9" t="str">
        <f>_xlfn.XLOOKUP(C978,customers!$A$2:$A$1001,customers!$G$2:$G$1001,"")</f>
        <v>United States</v>
      </c>
      <c r="I978" s="10" t="str">
        <f>INDEX(products!$A$2:$G$49,MATCH(orders!$D978,products!$A$2:$A$49,0),MATCH(orders!I$1,products!$A$1:$G$1,0))</f>
        <v>Rob</v>
      </c>
      <c r="J978" s="10" t="str">
        <f>INDEX(products!$A$2:$G$49,MATCH(orders!$D978,products!$A$2:$A$49,0),MATCH(orders!J$1,products!$A$1:$G$1,0))</f>
        <v>L</v>
      </c>
      <c r="K978" s="11">
        <f>INDEX(products!$A$2:$G$49,MATCH(orders!$D978,products!$A$2:$A$49,0),MATCH(orders!K$1,products!$A$1:$G$1,0))</f>
        <v>2.5</v>
      </c>
      <c r="L978" s="12">
        <f>INDEX(products!$A$2:$G$49,MATCH(orders!$D978,products!$A$2:$A$49,0),MATCH(orders!L$1,products!$A$1:$G$1,0))</f>
        <v>27.484999999999996</v>
      </c>
      <c r="M978" s="12">
        <f t="shared" si="45"/>
        <v>137.42499999999998</v>
      </c>
      <c r="N978" s="10" t="str">
        <f t="shared" si="46"/>
        <v>Robusta</v>
      </c>
      <c r="O978" s="10" t="str">
        <f t="shared" si="47"/>
        <v>Light</v>
      </c>
      <c r="P978" s="10" t="str">
        <f>_xlfn.XLOOKUP(Tableau1[[#This Row],[Customer ID]],customers!A$2:A$1001,customers!I$2:I$1001)</f>
        <v>Yes</v>
      </c>
    </row>
    <row r="979" spans="1:16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9" t="str">
        <f>_xlfn.XLOOKUP(orders!C979,customers!$A$2:$A$1001,customers!$B$2:$B$1001)</f>
        <v>Mab Blakemore</v>
      </c>
      <c r="G979" s="9" t="str">
        <f>IF(_xlfn.XLOOKUP(orders!C979,customers!$A$2:$A$1001,customers!$C$2:$C$1001,,,)=0,"",_xlfn.XLOOKUP(orders!C979,customers!$A$2:$A$1001,customers!$C$2:$C$1001,,,))</f>
        <v>mblakemorer5@nsw.gov.au</v>
      </c>
      <c r="H979" s="9" t="str">
        <f>_xlfn.XLOOKUP(C979,customers!$A$2:$A$1001,customers!$G$2:$G$1001,"")</f>
        <v>United States</v>
      </c>
      <c r="I979" s="10" t="str">
        <f>INDEX(products!$A$2:$G$49,MATCH(orders!$D979,products!$A$2:$A$49,0),MATCH(orders!I$1,products!$A$1:$G$1,0))</f>
        <v>Rob</v>
      </c>
      <c r="J979" s="10" t="str">
        <f>INDEX(products!$A$2:$G$49,MATCH(orders!$D979,products!$A$2:$A$49,0),MATCH(orders!J$1,products!$A$1:$G$1,0))</f>
        <v>L</v>
      </c>
      <c r="K979" s="11">
        <f>INDEX(products!$A$2:$G$49,MATCH(orders!$D979,products!$A$2:$A$49,0),MATCH(orders!K$1,products!$A$1:$G$1,0))</f>
        <v>1</v>
      </c>
      <c r="L979" s="12">
        <f>INDEX(products!$A$2:$G$49,MATCH(orders!$D979,products!$A$2:$A$49,0),MATCH(orders!L$1,products!$A$1:$G$1,0))</f>
        <v>11.95</v>
      </c>
      <c r="M979" s="12">
        <f t="shared" si="45"/>
        <v>59.75</v>
      </c>
      <c r="N979" s="10" t="str">
        <f t="shared" si="46"/>
        <v>Robusta</v>
      </c>
      <c r="O979" s="10" t="str">
        <f t="shared" si="47"/>
        <v>Light</v>
      </c>
      <c r="P979" s="10" t="str">
        <f>_xlfn.XLOOKUP(Tableau1[[#This Row],[Customer ID]],customers!A$2:A$1001,customers!I$2:I$1001)</f>
        <v>No</v>
      </c>
    </row>
    <row r="980" spans="1:16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9" t="str">
        <f>_xlfn.XLOOKUP(orders!C980,customers!$A$2:$A$1001,customers!$B$2:$B$1001)</f>
        <v>Charlean Keave</v>
      </c>
      <c r="G980" s="9" t="str">
        <f>IF(_xlfn.XLOOKUP(orders!C980,customers!$A$2:$A$1001,customers!$C$2:$C$1001,,,)=0,"",_xlfn.XLOOKUP(orders!C980,customers!$A$2:$A$1001,customers!$C$2:$C$1001,,,))</f>
        <v>ckeaver1@ucoz.com</v>
      </c>
      <c r="H980" s="9" t="str">
        <f>_xlfn.XLOOKUP(C980,customers!$A$2:$A$1001,customers!$G$2:$G$1001,"")</f>
        <v>United States</v>
      </c>
      <c r="I980" s="10" t="str">
        <f>INDEX(products!$A$2:$G$49,MATCH(orders!$D980,products!$A$2:$A$49,0),MATCH(orders!I$1,products!$A$1:$G$1,0))</f>
        <v>Ara</v>
      </c>
      <c r="J980" s="10" t="str">
        <f>INDEX(products!$A$2:$G$49,MATCH(orders!$D980,products!$A$2:$A$49,0),MATCH(orders!J$1,products!$A$1:$G$1,0))</f>
        <v>L</v>
      </c>
      <c r="K980" s="11">
        <f>INDEX(products!$A$2:$G$49,MATCH(orders!$D980,products!$A$2:$A$49,0),MATCH(orders!K$1,products!$A$1:$G$1,0))</f>
        <v>0.5</v>
      </c>
      <c r="L980" s="12">
        <f>INDEX(products!$A$2:$G$49,MATCH(orders!$D980,products!$A$2:$A$49,0),MATCH(orders!L$1,products!$A$1:$G$1,0))</f>
        <v>7.77</v>
      </c>
      <c r="M980" s="12">
        <f t="shared" si="45"/>
        <v>23.31</v>
      </c>
      <c r="N980" s="10" t="str">
        <f t="shared" si="46"/>
        <v>Arabica</v>
      </c>
      <c r="O980" s="10" t="str">
        <f t="shared" si="47"/>
        <v>Light</v>
      </c>
      <c r="P980" s="10" t="str">
        <f>_xlfn.XLOOKUP(Tableau1[[#This Row],[Customer ID]],customers!A$2:A$1001,customers!I$2:I$1001)</f>
        <v>No</v>
      </c>
    </row>
    <row r="981" spans="1:16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9" t="str">
        <f>_xlfn.XLOOKUP(orders!C981,customers!$A$2:$A$1001,customers!$B$2:$B$1001)</f>
        <v>Javier Causnett</v>
      </c>
      <c r="G981" s="9" t="str">
        <f>IF(_xlfn.XLOOKUP(orders!C981,customers!$A$2:$A$1001,customers!$C$2:$C$1001,,,)=0,"",_xlfn.XLOOKUP(orders!C981,customers!$A$2:$A$1001,customers!$C$2:$C$1001,,,))</f>
        <v/>
      </c>
      <c r="H981" s="9" t="str">
        <f>_xlfn.XLOOKUP(C981,customers!$A$2:$A$1001,customers!$G$2:$G$1001,"")</f>
        <v>United States</v>
      </c>
      <c r="I981" s="10" t="str">
        <f>INDEX(products!$A$2:$G$49,MATCH(orders!$D981,products!$A$2:$A$49,0),MATCH(orders!I$1,products!$A$1:$G$1,0))</f>
        <v>Rob</v>
      </c>
      <c r="J981" s="10" t="str">
        <f>INDEX(products!$A$2:$G$49,MATCH(orders!$D981,products!$A$2:$A$49,0),MATCH(orders!J$1,products!$A$1:$G$1,0))</f>
        <v>D</v>
      </c>
      <c r="K981" s="11">
        <f>INDEX(products!$A$2:$G$49,MATCH(orders!$D981,products!$A$2:$A$49,0),MATCH(orders!K$1,products!$A$1:$G$1,0))</f>
        <v>0.5</v>
      </c>
      <c r="L981" s="12">
        <f>INDEX(products!$A$2:$G$49,MATCH(orders!$D981,products!$A$2:$A$49,0),MATCH(orders!L$1,products!$A$1:$G$1,0))</f>
        <v>5.3699999999999992</v>
      </c>
      <c r="M981" s="12">
        <f t="shared" si="45"/>
        <v>10.739999999999998</v>
      </c>
      <c r="N981" s="10" t="str">
        <f t="shared" si="46"/>
        <v>Robusta</v>
      </c>
      <c r="O981" s="10" t="str">
        <f t="shared" si="47"/>
        <v>Dark</v>
      </c>
      <c r="P981" s="10" t="str">
        <f>_xlfn.XLOOKUP(Tableau1[[#This Row],[Customer ID]],customers!A$2:A$1001,customers!I$2:I$1001)</f>
        <v>No</v>
      </c>
    </row>
    <row r="982" spans="1:16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9" t="str">
        <f>_xlfn.XLOOKUP(orders!C982,customers!$A$2:$A$1001,customers!$B$2:$B$1001)</f>
        <v>Demetris Micheli</v>
      </c>
      <c r="G982" s="9" t="str">
        <f>IF(_xlfn.XLOOKUP(orders!C982,customers!$A$2:$A$1001,customers!$C$2:$C$1001,,,)=0,"",_xlfn.XLOOKUP(orders!C982,customers!$A$2:$A$1001,customers!$C$2:$C$1001,,,))</f>
        <v/>
      </c>
      <c r="H982" s="9" t="str">
        <f>_xlfn.XLOOKUP(C982,customers!$A$2:$A$1001,customers!$G$2:$G$1001,"")</f>
        <v>United States</v>
      </c>
      <c r="I982" s="10" t="str">
        <f>INDEX(products!$A$2:$G$49,MATCH(orders!$D982,products!$A$2:$A$49,0),MATCH(orders!I$1,products!$A$1:$G$1,0))</f>
        <v>Exc</v>
      </c>
      <c r="J982" s="10" t="str">
        <f>INDEX(products!$A$2:$G$49,MATCH(orders!$D982,products!$A$2:$A$49,0),MATCH(orders!J$1,products!$A$1:$G$1,0))</f>
        <v>D</v>
      </c>
      <c r="K982" s="11">
        <f>INDEX(products!$A$2:$G$49,MATCH(orders!$D982,products!$A$2:$A$49,0),MATCH(orders!K$1,products!$A$1:$G$1,0))</f>
        <v>2.5</v>
      </c>
      <c r="L982" s="12">
        <f>INDEX(products!$A$2:$G$49,MATCH(orders!$D982,products!$A$2:$A$49,0),MATCH(orders!L$1,products!$A$1:$G$1,0))</f>
        <v>27.945</v>
      </c>
      <c r="M982" s="12">
        <f t="shared" si="45"/>
        <v>167.67000000000002</v>
      </c>
      <c r="N982" s="10" t="str">
        <f t="shared" si="46"/>
        <v>Excelsa</v>
      </c>
      <c r="O982" s="10" t="str">
        <f t="shared" si="47"/>
        <v>Dark</v>
      </c>
      <c r="P982" s="10" t="str">
        <f>_xlfn.XLOOKUP(Tableau1[[#This Row],[Customer ID]],customers!A$2:A$1001,customers!I$2:I$1001)</f>
        <v>Yes</v>
      </c>
    </row>
    <row r="983" spans="1:16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9" t="str">
        <f>_xlfn.XLOOKUP(orders!C983,customers!$A$2:$A$1001,customers!$B$2:$B$1001)</f>
        <v>Chloette Bernardot</v>
      </c>
      <c r="G983" s="9" t="str">
        <f>IF(_xlfn.XLOOKUP(orders!C983,customers!$A$2:$A$1001,customers!$C$2:$C$1001,,,)=0,"",_xlfn.XLOOKUP(orders!C983,customers!$A$2:$A$1001,customers!$C$2:$C$1001,,,))</f>
        <v>cbernardotr9@wix.com</v>
      </c>
      <c r="H983" s="9" t="str">
        <f>_xlfn.XLOOKUP(C983,customers!$A$2:$A$1001,customers!$G$2:$G$1001,"")</f>
        <v>United States</v>
      </c>
      <c r="I983" s="10" t="str">
        <f>INDEX(products!$A$2:$G$49,MATCH(orders!$D983,products!$A$2:$A$49,0),MATCH(orders!I$1,products!$A$1:$G$1,0))</f>
        <v>Exc</v>
      </c>
      <c r="J983" s="10" t="str">
        <f>INDEX(products!$A$2:$G$49,MATCH(orders!$D983,products!$A$2:$A$49,0),MATCH(orders!J$1,products!$A$1:$G$1,0))</f>
        <v>D</v>
      </c>
      <c r="K983" s="11">
        <f>INDEX(products!$A$2:$G$49,MATCH(orders!$D983,products!$A$2:$A$49,0),MATCH(orders!K$1,products!$A$1:$G$1,0))</f>
        <v>0.2</v>
      </c>
      <c r="L983" s="12">
        <f>INDEX(products!$A$2:$G$49,MATCH(orders!$D983,products!$A$2:$A$49,0),MATCH(orders!L$1,products!$A$1:$G$1,0))</f>
        <v>3.645</v>
      </c>
      <c r="M983" s="12">
        <f t="shared" si="45"/>
        <v>21.87</v>
      </c>
      <c r="N983" s="10" t="str">
        <f t="shared" si="46"/>
        <v>Excelsa</v>
      </c>
      <c r="O983" s="10" t="str">
        <f t="shared" si="47"/>
        <v>Dark</v>
      </c>
      <c r="P983" s="10" t="str">
        <f>_xlfn.XLOOKUP(Tableau1[[#This Row],[Customer ID]],customers!A$2:A$1001,customers!I$2:I$1001)</f>
        <v>Yes</v>
      </c>
    </row>
    <row r="984" spans="1:16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9" t="str">
        <f>_xlfn.XLOOKUP(orders!C984,customers!$A$2:$A$1001,customers!$B$2:$B$1001)</f>
        <v>Kim Kemery</v>
      </c>
      <c r="G984" s="9" t="str">
        <f>IF(_xlfn.XLOOKUP(orders!C984,customers!$A$2:$A$1001,customers!$C$2:$C$1001,,,)=0,"",_xlfn.XLOOKUP(orders!C984,customers!$A$2:$A$1001,customers!$C$2:$C$1001,,,))</f>
        <v>kkemeryra@t.co</v>
      </c>
      <c r="H984" s="9" t="str">
        <f>_xlfn.XLOOKUP(C984,customers!$A$2:$A$1001,customers!$G$2:$G$1001,"")</f>
        <v>United States</v>
      </c>
      <c r="I984" s="10" t="str">
        <f>INDEX(products!$A$2:$G$49,MATCH(orders!$D984,products!$A$2:$A$49,0),MATCH(orders!I$1,products!$A$1:$G$1,0))</f>
        <v>Rob</v>
      </c>
      <c r="J984" s="10" t="str">
        <f>INDEX(products!$A$2:$G$49,MATCH(orders!$D984,products!$A$2:$A$49,0),MATCH(orders!J$1,products!$A$1:$G$1,0))</f>
        <v>L</v>
      </c>
      <c r="K984" s="11">
        <f>INDEX(products!$A$2:$G$49,MATCH(orders!$D984,products!$A$2:$A$49,0),MATCH(orders!K$1,products!$A$1:$G$1,0))</f>
        <v>1</v>
      </c>
      <c r="L984" s="12">
        <f>INDEX(products!$A$2:$G$49,MATCH(orders!$D984,products!$A$2:$A$49,0),MATCH(orders!L$1,products!$A$1:$G$1,0))</f>
        <v>11.95</v>
      </c>
      <c r="M984" s="12">
        <f t="shared" si="45"/>
        <v>23.9</v>
      </c>
      <c r="N984" s="10" t="str">
        <f t="shared" si="46"/>
        <v>Robusta</v>
      </c>
      <c r="O984" s="10" t="str">
        <f t="shared" si="47"/>
        <v>Light</v>
      </c>
      <c r="P984" s="10" t="str">
        <f>_xlfn.XLOOKUP(Tableau1[[#This Row],[Customer ID]],customers!A$2:A$1001,customers!I$2:I$1001)</f>
        <v>Yes</v>
      </c>
    </row>
    <row r="985" spans="1:16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9" t="str">
        <f>_xlfn.XLOOKUP(orders!C985,customers!$A$2:$A$1001,customers!$B$2:$B$1001)</f>
        <v>Fanchette Parlot</v>
      </c>
      <c r="G985" s="9" t="str">
        <f>IF(_xlfn.XLOOKUP(orders!C985,customers!$A$2:$A$1001,customers!$C$2:$C$1001,,,)=0,"",_xlfn.XLOOKUP(orders!C985,customers!$A$2:$A$1001,customers!$C$2:$C$1001,,,))</f>
        <v>fparlotrb@forbes.com</v>
      </c>
      <c r="H985" s="9" t="str">
        <f>_xlfn.XLOOKUP(C985,customers!$A$2:$A$1001,customers!$G$2:$G$1001,"")</f>
        <v>United States</v>
      </c>
      <c r="I985" s="10" t="str">
        <f>INDEX(products!$A$2:$G$49,MATCH(orders!$D985,products!$A$2:$A$49,0),MATCH(orders!I$1,products!$A$1:$G$1,0))</f>
        <v>Ara</v>
      </c>
      <c r="J985" s="10" t="str">
        <f>INDEX(products!$A$2:$G$49,MATCH(orders!$D985,products!$A$2:$A$49,0),MATCH(orders!J$1,products!$A$1:$G$1,0))</f>
        <v>M</v>
      </c>
      <c r="K985" s="11">
        <f>INDEX(products!$A$2:$G$49,MATCH(orders!$D985,products!$A$2:$A$49,0),MATCH(orders!K$1,products!$A$1:$G$1,0))</f>
        <v>0.2</v>
      </c>
      <c r="L985" s="12">
        <f>INDEX(products!$A$2:$G$49,MATCH(orders!$D985,products!$A$2:$A$49,0),MATCH(orders!L$1,products!$A$1:$G$1,0))</f>
        <v>3.375</v>
      </c>
      <c r="M985" s="12">
        <f t="shared" si="45"/>
        <v>6.75</v>
      </c>
      <c r="N985" s="10" t="str">
        <f t="shared" si="46"/>
        <v>Arabica</v>
      </c>
      <c r="O985" s="10" t="str">
        <f t="shared" si="47"/>
        <v>Medium</v>
      </c>
      <c r="P985" s="10" t="str">
        <f>_xlfn.XLOOKUP(Tableau1[[#This Row],[Customer ID]],customers!A$2:A$1001,customers!I$2:I$1001)</f>
        <v>Yes</v>
      </c>
    </row>
    <row r="986" spans="1:16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9" t="str">
        <f>_xlfn.XLOOKUP(orders!C986,customers!$A$2:$A$1001,customers!$B$2:$B$1001)</f>
        <v>Ramon Cheak</v>
      </c>
      <c r="G986" s="9" t="str">
        <f>IF(_xlfn.XLOOKUP(orders!C986,customers!$A$2:$A$1001,customers!$C$2:$C$1001,,,)=0,"",_xlfn.XLOOKUP(orders!C986,customers!$A$2:$A$1001,customers!$C$2:$C$1001,,,))</f>
        <v>rcheakrc@tripadvisor.com</v>
      </c>
      <c r="H986" s="9" t="str">
        <f>_xlfn.XLOOKUP(C986,customers!$A$2:$A$1001,customers!$G$2:$G$1001,"")</f>
        <v>Ireland</v>
      </c>
      <c r="I986" s="10" t="str">
        <f>INDEX(products!$A$2:$G$49,MATCH(orders!$D986,products!$A$2:$A$49,0),MATCH(orders!I$1,products!$A$1:$G$1,0))</f>
        <v>Exc</v>
      </c>
      <c r="J986" s="10" t="str">
        <f>INDEX(products!$A$2:$G$49,MATCH(orders!$D986,products!$A$2:$A$49,0),MATCH(orders!J$1,products!$A$1:$G$1,0))</f>
        <v>M</v>
      </c>
      <c r="K986" s="11">
        <f>INDEX(products!$A$2:$G$49,MATCH(orders!$D986,products!$A$2:$A$49,0),MATCH(orders!K$1,products!$A$1:$G$1,0))</f>
        <v>2.5</v>
      </c>
      <c r="L986" s="12">
        <f>INDEX(products!$A$2:$G$49,MATCH(orders!$D986,products!$A$2:$A$49,0),MATCH(orders!L$1,products!$A$1:$G$1,0))</f>
        <v>31.624999999999996</v>
      </c>
      <c r="M986" s="12">
        <f t="shared" si="45"/>
        <v>31.624999999999996</v>
      </c>
      <c r="N986" s="10" t="str">
        <f t="shared" si="46"/>
        <v>Excelsa</v>
      </c>
      <c r="O986" s="10" t="str">
        <f t="shared" si="47"/>
        <v>Medium</v>
      </c>
      <c r="P986" s="10" t="str">
        <f>_xlfn.XLOOKUP(Tableau1[[#This Row],[Customer ID]],customers!A$2:A$1001,customers!I$2:I$1001)</f>
        <v>Yes</v>
      </c>
    </row>
    <row r="987" spans="1:16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9" t="str">
        <f>_xlfn.XLOOKUP(orders!C987,customers!$A$2:$A$1001,customers!$B$2:$B$1001)</f>
        <v>Koressa O'Geneay</v>
      </c>
      <c r="G987" s="9" t="str">
        <f>IF(_xlfn.XLOOKUP(orders!C987,customers!$A$2:$A$1001,customers!$C$2:$C$1001,,,)=0,"",_xlfn.XLOOKUP(orders!C987,customers!$A$2:$A$1001,customers!$C$2:$C$1001,,,))</f>
        <v>kogeneayrd@utexas.edu</v>
      </c>
      <c r="H987" s="9" t="str">
        <f>_xlfn.XLOOKUP(C987,customers!$A$2:$A$1001,customers!$G$2:$G$1001,"")</f>
        <v>United States</v>
      </c>
      <c r="I987" s="10" t="str">
        <f>INDEX(products!$A$2:$G$49,MATCH(orders!$D987,products!$A$2:$A$49,0),MATCH(orders!I$1,products!$A$1:$G$1,0))</f>
        <v>Rob</v>
      </c>
      <c r="J987" s="10" t="str">
        <f>INDEX(products!$A$2:$G$49,MATCH(orders!$D987,products!$A$2:$A$49,0),MATCH(orders!J$1,products!$A$1:$G$1,0))</f>
        <v>L</v>
      </c>
      <c r="K987" s="11">
        <f>INDEX(products!$A$2:$G$49,MATCH(orders!$D987,products!$A$2:$A$49,0),MATCH(orders!K$1,products!$A$1:$G$1,0))</f>
        <v>1</v>
      </c>
      <c r="L987" s="12">
        <f>INDEX(products!$A$2:$G$49,MATCH(orders!$D987,products!$A$2:$A$49,0),MATCH(orders!L$1,products!$A$1:$G$1,0))</f>
        <v>11.95</v>
      </c>
      <c r="M987" s="12">
        <f t="shared" si="45"/>
        <v>47.8</v>
      </c>
      <c r="N987" s="10" t="str">
        <f t="shared" si="46"/>
        <v>Robusta</v>
      </c>
      <c r="O987" s="10" t="str">
        <f t="shared" si="47"/>
        <v>Light</v>
      </c>
      <c r="P987" s="10" t="str">
        <f>_xlfn.XLOOKUP(Tableau1[[#This Row],[Customer ID]],customers!A$2:A$1001,customers!I$2:I$1001)</f>
        <v>No</v>
      </c>
    </row>
    <row r="988" spans="1:16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9" t="str">
        <f>_xlfn.XLOOKUP(orders!C988,customers!$A$2:$A$1001,customers!$B$2:$B$1001)</f>
        <v>Claudell Ayre</v>
      </c>
      <c r="G988" s="9" t="str">
        <f>IF(_xlfn.XLOOKUP(orders!C988,customers!$A$2:$A$1001,customers!$C$2:$C$1001,,,)=0,"",_xlfn.XLOOKUP(orders!C988,customers!$A$2:$A$1001,customers!$C$2:$C$1001,,,))</f>
        <v>cayrere@symantec.com</v>
      </c>
      <c r="H988" s="9" t="str">
        <f>_xlfn.XLOOKUP(C988,customers!$A$2:$A$1001,customers!$G$2:$G$1001,"")</f>
        <v>United States</v>
      </c>
      <c r="I988" s="10" t="str">
        <f>INDEX(products!$A$2:$G$49,MATCH(orders!$D988,products!$A$2:$A$49,0),MATCH(orders!I$1,products!$A$1:$G$1,0))</f>
        <v>Lib</v>
      </c>
      <c r="J988" s="10" t="str">
        <f>INDEX(products!$A$2:$G$49,MATCH(orders!$D988,products!$A$2:$A$49,0),MATCH(orders!J$1,products!$A$1:$G$1,0))</f>
        <v>M</v>
      </c>
      <c r="K988" s="11">
        <f>INDEX(products!$A$2:$G$49,MATCH(orders!$D988,products!$A$2:$A$49,0),MATCH(orders!K$1,products!$A$1:$G$1,0))</f>
        <v>2.5</v>
      </c>
      <c r="L988" s="12">
        <f>INDEX(products!$A$2:$G$49,MATCH(orders!$D988,products!$A$2:$A$49,0),MATCH(orders!L$1,products!$A$1:$G$1,0))</f>
        <v>33.464999999999996</v>
      </c>
      <c r="M988" s="12">
        <f t="shared" si="45"/>
        <v>33.464999999999996</v>
      </c>
      <c r="N988" s="10" t="str">
        <f t="shared" si="46"/>
        <v>Liberica</v>
      </c>
      <c r="O988" s="10" t="str">
        <f t="shared" si="47"/>
        <v>Medium</v>
      </c>
      <c r="P988" s="10" t="str">
        <f>_xlfn.XLOOKUP(Tableau1[[#This Row],[Customer ID]],customers!A$2:A$1001,customers!I$2:I$1001)</f>
        <v>No</v>
      </c>
    </row>
    <row r="989" spans="1:16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9" t="str">
        <f>_xlfn.XLOOKUP(orders!C989,customers!$A$2:$A$1001,customers!$B$2:$B$1001)</f>
        <v>Lorianne Kyneton</v>
      </c>
      <c r="G989" s="9" t="str">
        <f>IF(_xlfn.XLOOKUP(orders!C989,customers!$A$2:$A$1001,customers!$C$2:$C$1001,,,)=0,"",_xlfn.XLOOKUP(orders!C989,customers!$A$2:$A$1001,customers!$C$2:$C$1001,,,))</f>
        <v>lkynetonrf@macromedia.com</v>
      </c>
      <c r="H989" s="9" t="str">
        <f>_xlfn.XLOOKUP(C989,customers!$A$2:$A$1001,customers!$G$2:$G$1001,"")</f>
        <v>United Kingdom</v>
      </c>
      <c r="I989" s="10" t="str">
        <f>INDEX(products!$A$2:$G$49,MATCH(orders!$D989,products!$A$2:$A$49,0),MATCH(orders!I$1,products!$A$1:$G$1,0))</f>
        <v>Ara</v>
      </c>
      <c r="J989" s="10" t="str">
        <f>INDEX(products!$A$2:$G$49,MATCH(orders!$D989,products!$A$2:$A$49,0),MATCH(orders!J$1,products!$A$1:$G$1,0))</f>
        <v>D</v>
      </c>
      <c r="K989" s="11">
        <f>INDEX(products!$A$2:$G$49,MATCH(orders!$D989,products!$A$2:$A$49,0),MATCH(orders!K$1,products!$A$1:$G$1,0))</f>
        <v>0.5</v>
      </c>
      <c r="L989" s="12">
        <f>INDEX(products!$A$2:$G$49,MATCH(orders!$D989,products!$A$2:$A$49,0),MATCH(orders!L$1,products!$A$1:$G$1,0))</f>
        <v>5.97</v>
      </c>
      <c r="M989" s="12">
        <f t="shared" si="45"/>
        <v>29.849999999999998</v>
      </c>
      <c r="N989" s="10" t="str">
        <f t="shared" si="46"/>
        <v>Arabica</v>
      </c>
      <c r="O989" s="10" t="str">
        <f t="shared" si="47"/>
        <v>Dark</v>
      </c>
      <c r="P989" s="10" t="str">
        <f>_xlfn.XLOOKUP(Tableau1[[#This Row],[Customer ID]],customers!A$2:A$1001,customers!I$2:I$1001)</f>
        <v>Yes</v>
      </c>
    </row>
    <row r="990" spans="1:16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9" t="str">
        <f>_xlfn.XLOOKUP(orders!C990,customers!$A$2:$A$1001,customers!$B$2:$B$1001)</f>
        <v>Adele McFayden</v>
      </c>
      <c r="G990" s="9" t="str">
        <f>IF(_xlfn.XLOOKUP(orders!C990,customers!$A$2:$A$1001,customers!$C$2:$C$1001,,,)=0,"",_xlfn.XLOOKUP(orders!C990,customers!$A$2:$A$1001,customers!$C$2:$C$1001,,,))</f>
        <v/>
      </c>
      <c r="H990" s="9" t="str">
        <f>_xlfn.XLOOKUP(C990,customers!$A$2:$A$1001,customers!$G$2:$G$1001,"")</f>
        <v>United Kingdom</v>
      </c>
      <c r="I990" s="10" t="str">
        <f>INDEX(products!$A$2:$G$49,MATCH(orders!$D990,products!$A$2:$A$49,0),MATCH(orders!I$1,products!$A$1:$G$1,0))</f>
        <v>Rob</v>
      </c>
      <c r="J990" s="10" t="str">
        <f>INDEX(products!$A$2:$G$49,MATCH(orders!$D990,products!$A$2:$A$49,0),MATCH(orders!J$1,products!$A$1:$G$1,0))</f>
        <v>M</v>
      </c>
      <c r="K990" s="11">
        <f>INDEX(products!$A$2:$G$49,MATCH(orders!$D990,products!$A$2:$A$49,0),MATCH(orders!K$1,products!$A$1:$G$1,0))</f>
        <v>1</v>
      </c>
      <c r="L990" s="12">
        <f>INDEX(products!$A$2:$G$49,MATCH(orders!$D990,products!$A$2:$A$49,0),MATCH(orders!L$1,products!$A$1:$G$1,0))</f>
        <v>9.9499999999999993</v>
      </c>
      <c r="M990" s="12">
        <f t="shared" si="45"/>
        <v>29.849999999999998</v>
      </c>
      <c r="N990" s="10" t="str">
        <f t="shared" si="46"/>
        <v>Robusta</v>
      </c>
      <c r="O990" s="10" t="str">
        <f t="shared" si="47"/>
        <v>Medium</v>
      </c>
      <c r="P990" s="10" t="str">
        <f>_xlfn.XLOOKUP(Tableau1[[#This Row],[Customer ID]],customers!A$2:A$1001,customers!I$2:I$1001)</f>
        <v>Yes</v>
      </c>
    </row>
    <row r="991" spans="1:16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9" t="str">
        <f>_xlfn.XLOOKUP(orders!C991,customers!$A$2:$A$1001,customers!$B$2:$B$1001)</f>
        <v>Herta Layne</v>
      </c>
      <c r="G991" s="9" t="str">
        <f>IF(_xlfn.XLOOKUP(orders!C991,customers!$A$2:$A$1001,customers!$C$2:$C$1001,,,)=0,"",_xlfn.XLOOKUP(orders!C991,customers!$A$2:$A$1001,customers!$C$2:$C$1001,,,))</f>
        <v/>
      </c>
      <c r="H991" s="9" t="str">
        <f>_xlfn.XLOOKUP(C991,customers!$A$2:$A$1001,customers!$G$2:$G$1001,"")</f>
        <v>United States</v>
      </c>
      <c r="I991" s="10" t="str">
        <f>INDEX(products!$A$2:$G$49,MATCH(orders!$D991,products!$A$2:$A$49,0),MATCH(orders!I$1,products!$A$1:$G$1,0))</f>
        <v>Ara</v>
      </c>
      <c r="J991" s="10" t="str">
        <f>INDEX(products!$A$2:$G$49,MATCH(orders!$D991,products!$A$2:$A$49,0),MATCH(orders!J$1,products!$A$1:$G$1,0))</f>
        <v>M</v>
      </c>
      <c r="K991" s="11">
        <f>INDEX(products!$A$2:$G$49,MATCH(orders!$D991,products!$A$2:$A$49,0),MATCH(orders!K$1,products!$A$1:$G$1,0))</f>
        <v>2.5</v>
      </c>
      <c r="L991" s="12">
        <f>INDEX(products!$A$2:$G$49,MATCH(orders!$D991,products!$A$2:$A$49,0),MATCH(orders!L$1,products!$A$1:$G$1,0))</f>
        <v>25.874999999999996</v>
      </c>
      <c r="M991" s="12">
        <f t="shared" si="45"/>
        <v>155.24999999999997</v>
      </c>
      <c r="N991" s="10" t="str">
        <f t="shared" si="46"/>
        <v>Arabica</v>
      </c>
      <c r="O991" s="10" t="str">
        <f t="shared" si="47"/>
        <v>Medium</v>
      </c>
      <c r="P991" s="10" t="str">
        <f>_xlfn.XLOOKUP(Tableau1[[#This Row],[Customer ID]],customers!A$2:A$1001,customers!I$2:I$1001)</f>
        <v>Yes</v>
      </c>
    </row>
    <row r="992" spans="1:16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9" t="str">
        <f>_xlfn.XLOOKUP(orders!C992,customers!$A$2:$A$1001,customers!$B$2:$B$1001)</f>
        <v>Marguerite Graves</v>
      </c>
      <c r="G992" s="9" t="str">
        <f>IF(_xlfn.XLOOKUP(orders!C992,customers!$A$2:$A$1001,customers!$C$2:$C$1001,,,)=0,"",_xlfn.XLOOKUP(orders!C992,customers!$A$2:$A$1001,customers!$C$2:$C$1001,,,))</f>
        <v/>
      </c>
      <c r="H992" s="9" t="str">
        <f>_xlfn.XLOOKUP(C992,customers!$A$2:$A$1001,customers!$G$2:$G$1001,"")</f>
        <v>United States</v>
      </c>
      <c r="I992" s="10" t="str">
        <f>INDEX(products!$A$2:$G$49,MATCH(orders!$D992,products!$A$2:$A$49,0),MATCH(orders!I$1,products!$A$1:$G$1,0))</f>
        <v>Exc</v>
      </c>
      <c r="J992" s="10" t="str">
        <f>INDEX(products!$A$2:$G$49,MATCH(orders!$D992,products!$A$2:$A$49,0),MATCH(orders!J$1,products!$A$1:$G$1,0))</f>
        <v>D</v>
      </c>
      <c r="K992" s="11">
        <f>INDEX(products!$A$2:$G$49,MATCH(orders!$D992,products!$A$2:$A$49,0),MATCH(orders!K$1,products!$A$1:$G$1,0))</f>
        <v>0.2</v>
      </c>
      <c r="L992" s="12">
        <f>INDEX(products!$A$2:$G$49,MATCH(orders!$D992,products!$A$2:$A$49,0),MATCH(orders!L$1,products!$A$1:$G$1,0))</f>
        <v>3.645</v>
      </c>
      <c r="M992" s="12">
        <f t="shared" si="45"/>
        <v>18.225000000000001</v>
      </c>
      <c r="N992" s="10" t="str">
        <f t="shared" si="46"/>
        <v>Excelsa</v>
      </c>
      <c r="O992" s="10" t="str">
        <f t="shared" si="47"/>
        <v>Dark</v>
      </c>
      <c r="P992" s="10" t="str">
        <f>_xlfn.XLOOKUP(Tableau1[[#This Row],[Customer ID]],customers!A$2:A$1001,customers!I$2:I$1001)</f>
        <v>No</v>
      </c>
    </row>
    <row r="993" spans="1:16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9" t="str">
        <f>_xlfn.XLOOKUP(orders!C993,customers!$A$2:$A$1001,customers!$B$2:$B$1001)</f>
        <v>Marguerite Graves</v>
      </c>
      <c r="G993" s="9" t="str">
        <f>IF(_xlfn.XLOOKUP(orders!C993,customers!$A$2:$A$1001,customers!$C$2:$C$1001,,,)=0,"",_xlfn.XLOOKUP(orders!C993,customers!$A$2:$A$1001,customers!$C$2:$C$1001,,,))</f>
        <v/>
      </c>
      <c r="H993" s="9" t="str">
        <f>_xlfn.XLOOKUP(C993,customers!$A$2:$A$1001,customers!$G$2:$G$1001,"")</f>
        <v>United States</v>
      </c>
      <c r="I993" s="10" t="str">
        <f>INDEX(products!$A$2:$G$49,MATCH(orders!$D993,products!$A$2:$A$49,0),MATCH(orders!I$1,products!$A$1:$G$1,0))</f>
        <v>Lib</v>
      </c>
      <c r="J993" s="10" t="str">
        <f>INDEX(products!$A$2:$G$49,MATCH(orders!$D993,products!$A$2:$A$49,0),MATCH(orders!J$1,products!$A$1:$G$1,0))</f>
        <v>D</v>
      </c>
      <c r="K993" s="11">
        <f>INDEX(products!$A$2:$G$49,MATCH(orders!$D993,products!$A$2:$A$49,0),MATCH(orders!K$1,products!$A$1:$G$1,0))</f>
        <v>0.5</v>
      </c>
      <c r="L993" s="12">
        <f>INDEX(products!$A$2:$G$49,MATCH(orders!$D993,products!$A$2:$A$49,0),MATCH(orders!L$1,products!$A$1:$G$1,0))</f>
        <v>7.77</v>
      </c>
      <c r="M993" s="12">
        <f t="shared" si="45"/>
        <v>15.54</v>
      </c>
      <c r="N993" s="10" t="str">
        <f t="shared" si="46"/>
        <v>Liberica</v>
      </c>
      <c r="O993" s="10" t="str">
        <f t="shared" si="47"/>
        <v>Dark</v>
      </c>
      <c r="P993" s="10" t="str">
        <f>_xlfn.XLOOKUP(Tableau1[[#This Row],[Customer ID]],customers!A$2:A$1001,customers!I$2:I$1001)</f>
        <v>No</v>
      </c>
    </row>
    <row r="994" spans="1:16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9" t="str">
        <f>_xlfn.XLOOKUP(orders!C994,customers!$A$2:$A$1001,customers!$B$2:$B$1001)</f>
        <v>Desdemona Eye</v>
      </c>
      <c r="G994" s="9" t="str">
        <f>IF(_xlfn.XLOOKUP(orders!C994,customers!$A$2:$A$1001,customers!$C$2:$C$1001,,,)=0,"",_xlfn.XLOOKUP(orders!C994,customers!$A$2:$A$1001,customers!$C$2:$C$1001,,,))</f>
        <v/>
      </c>
      <c r="H994" s="9" t="str">
        <f>_xlfn.XLOOKUP(C994,customers!$A$2:$A$1001,customers!$G$2:$G$1001,"")</f>
        <v>Ireland</v>
      </c>
      <c r="I994" s="10" t="str">
        <f>INDEX(products!$A$2:$G$49,MATCH(orders!$D994,products!$A$2:$A$49,0),MATCH(orders!I$1,products!$A$1:$G$1,0))</f>
        <v>Lib</v>
      </c>
      <c r="J994" s="10" t="str">
        <f>INDEX(products!$A$2:$G$49,MATCH(orders!$D994,products!$A$2:$A$49,0),MATCH(orders!J$1,products!$A$1:$G$1,0))</f>
        <v>L</v>
      </c>
      <c r="K994" s="11">
        <f>INDEX(products!$A$2:$G$49,MATCH(orders!$D994,products!$A$2:$A$49,0),MATCH(orders!K$1,products!$A$1:$G$1,0))</f>
        <v>2.5</v>
      </c>
      <c r="L994" s="12">
        <f>INDEX(products!$A$2:$G$49,MATCH(orders!$D994,products!$A$2:$A$49,0),MATCH(orders!L$1,products!$A$1:$G$1,0))</f>
        <v>36.454999999999998</v>
      </c>
      <c r="M994" s="12">
        <f t="shared" si="45"/>
        <v>109.36499999999999</v>
      </c>
      <c r="N994" s="10" t="str">
        <f t="shared" si="46"/>
        <v>Liberica</v>
      </c>
      <c r="O994" s="10" t="str">
        <f t="shared" si="47"/>
        <v>Light</v>
      </c>
      <c r="P994" s="10" t="str">
        <f>_xlfn.XLOOKUP(Tableau1[[#This Row],[Customer ID]],customers!A$2:A$1001,customers!I$2:I$1001)</f>
        <v>No</v>
      </c>
    </row>
    <row r="995" spans="1:16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9" t="str">
        <f>_xlfn.XLOOKUP(orders!C995,customers!$A$2:$A$1001,customers!$B$2:$B$1001)</f>
        <v>Margarette Sterland</v>
      </c>
      <c r="G995" s="9" t="str">
        <f>IF(_xlfn.XLOOKUP(orders!C995,customers!$A$2:$A$1001,customers!$C$2:$C$1001,,,)=0,"",_xlfn.XLOOKUP(orders!C995,customers!$A$2:$A$1001,customers!$C$2:$C$1001,,,))</f>
        <v/>
      </c>
      <c r="H995" s="9" t="str">
        <f>_xlfn.XLOOKUP(C995,customers!$A$2:$A$1001,customers!$G$2:$G$1001,"")</f>
        <v>United States</v>
      </c>
      <c r="I995" s="10" t="str">
        <f>INDEX(products!$A$2:$G$49,MATCH(orders!$D995,products!$A$2:$A$49,0),MATCH(orders!I$1,products!$A$1:$G$1,0))</f>
        <v>Ara</v>
      </c>
      <c r="J995" s="10" t="str">
        <f>INDEX(products!$A$2:$G$49,MATCH(orders!$D995,products!$A$2:$A$49,0),MATCH(orders!J$1,products!$A$1:$G$1,0))</f>
        <v>L</v>
      </c>
      <c r="K995" s="11">
        <f>INDEX(products!$A$2:$G$49,MATCH(orders!$D995,products!$A$2:$A$49,0),MATCH(orders!K$1,products!$A$1:$G$1,0))</f>
        <v>1</v>
      </c>
      <c r="L995" s="12">
        <f>INDEX(products!$A$2:$G$49,MATCH(orders!$D995,products!$A$2:$A$49,0),MATCH(orders!L$1,products!$A$1:$G$1,0))</f>
        <v>12.95</v>
      </c>
      <c r="M995" s="12">
        <f t="shared" si="45"/>
        <v>77.699999999999989</v>
      </c>
      <c r="N995" s="10" t="str">
        <f t="shared" si="46"/>
        <v>Arabica</v>
      </c>
      <c r="O995" s="10" t="str">
        <f t="shared" si="47"/>
        <v>Light</v>
      </c>
      <c r="P995" s="10" t="str">
        <f>_xlfn.XLOOKUP(Tableau1[[#This Row],[Customer ID]],customers!A$2:A$1001,customers!I$2:I$1001)</f>
        <v>No</v>
      </c>
    </row>
    <row r="996" spans="1:16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9" t="str">
        <f>_xlfn.XLOOKUP(orders!C996,customers!$A$2:$A$1001,customers!$B$2:$B$1001)</f>
        <v>Catharine Scoines</v>
      </c>
      <c r="G996" s="9" t="str">
        <f>IF(_xlfn.XLOOKUP(orders!C996,customers!$A$2:$A$1001,customers!$C$2:$C$1001,,,)=0,"",_xlfn.XLOOKUP(orders!C996,customers!$A$2:$A$1001,customers!$C$2:$C$1001,,,))</f>
        <v/>
      </c>
      <c r="H996" s="9" t="str">
        <f>_xlfn.XLOOKUP(C996,customers!$A$2:$A$1001,customers!$G$2:$G$1001,"")</f>
        <v>Ireland</v>
      </c>
      <c r="I996" s="10" t="str">
        <f>INDEX(products!$A$2:$G$49,MATCH(orders!$D996,products!$A$2:$A$49,0),MATCH(orders!I$1,products!$A$1:$G$1,0))</f>
        <v>Ara</v>
      </c>
      <c r="J996" s="10" t="str">
        <f>INDEX(products!$A$2:$G$49,MATCH(orders!$D996,products!$A$2:$A$49,0),MATCH(orders!J$1,products!$A$1:$G$1,0))</f>
        <v>D</v>
      </c>
      <c r="K996" s="11">
        <f>INDEX(products!$A$2:$G$49,MATCH(orders!$D996,products!$A$2:$A$49,0),MATCH(orders!K$1,products!$A$1:$G$1,0))</f>
        <v>0.2</v>
      </c>
      <c r="L996" s="12">
        <f>INDEX(products!$A$2:$G$49,MATCH(orders!$D996,products!$A$2:$A$49,0),MATCH(orders!L$1,products!$A$1:$G$1,0))</f>
        <v>2.9849999999999999</v>
      </c>
      <c r="M996" s="12">
        <f t="shared" si="45"/>
        <v>8.9550000000000001</v>
      </c>
      <c r="N996" s="10" t="str">
        <f t="shared" si="46"/>
        <v>Arabica</v>
      </c>
      <c r="O996" s="10" t="str">
        <f t="shared" si="47"/>
        <v>Dark</v>
      </c>
      <c r="P996" s="10" t="str">
        <f>_xlfn.XLOOKUP(Tableau1[[#This Row],[Customer ID]],customers!A$2:A$1001,customers!I$2:I$1001)</f>
        <v>No</v>
      </c>
    </row>
    <row r="997" spans="1:16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9" t="str">
        <f>_xlfn.XLOOKUP(orders!C997,customers!$A$2:$A$1001,customers!$B$2:$B$1001)</f>
        <v>Jennica Tewelson</v>
      </c>
      <c r="G997" s="9" t="str">
        <f>IF(_xlfn.XLOOKUP(orders!C997,customers!$A$2:$A$1001,customers!$C$2:$C$1001,,,)=0,"",_xlfn.XLOOKUP(orders!C997,customers!$A$2:$A$1001,customers!$C$2:$C$1001,,,))</f>
        <v>jtewelsonrn@samsung.com</v>
      </c>
      <c r="H997" s="9" t="str">
        <f>_xlfn.XLOOKUP(C997,customers!$A$2:$A$1001,customers!$G$2:$G$1001,"")</f>
        <v>United States</v>
      </c>
      <c r="I997" s="10" t="str">
        <f>INDEX(products!$A$2:$G$49,MATCH(orders!$D997,products!$A$2:$A$49,0),MATCH(orders!I$1,products!$A$1:$G$1,0))</f>
        <v>Rob</v>
      </c>
      <c r="J997" s="10" t="str">
        <f>INDEX(products!$A$2:$G$49,MATCH(orders!$D997,products!$A$2:$A$49,0),MATCH(orders!J$1,products!$A$1:$G$1,0))</f>
        <v>L</v>
      </c>
      <c r="K997" s="11">
        <f>INDEX(products!$A$2:$G$49,MATCH(orders!$D997,products!$A$2:$A$49,0),MATCH(orders!K$1,products!$A$1:$G$1,0))</f>
        <v>2.5</v>
      </c>
      <c r="L997" s="12">
        <f>INDEX(products!$A$2:$G$49,MATCH(orders!$D997,products!$A$2:$A$49,0),MATCH(orders!L$1,products!$A$1:$G$1,0))</f>
        <v>27.484999999999996</v>
      </c>
      <c r="M997" s="12">
        <f t="shared" si="45"/>
        <v>27.484999999999996</v>
      </c>
      <c r="N997" s="10" t="str">
        <f t="shared" si="46"/>
        <v>Robusta</v>
      </c>
      <c r="O997" s="10" t="str">
        <f t="shared" si="47"/>
        <v>Light</v>
      </c>
      <c r="P997" s="10" t="str">
        <f>_xlfn.XLOOKUP(Tableau1[[#This Row],[Customer ID]],customers!A$2:A$1001,customers!I$2:I$1001)</f>
        <v>No</v>
      </c>
    </row>
    <row r="998" spans="1:16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9" t="str">
        <f>_xlfn.XLOOKUP(orders!C998,customers!$A$2:$A$1001,customers!$B$2:$B$1001)</f>
        <v>Marguerite Graves</v>
      </c>
      <c r="G998" s="9" t="str">
        <f>IF(_xlfn.XLOOKUP(orders!C998,customers!$A$2:$A$1001,customers!$C$2:$C$1001,,,)=0,"",_xlfn.XLOOKUP(orders!C998,customers!$A$2:$A$1001,customers!$C$2:$C$1001,,,))</f>
        <v/>
      </c>
      <c r="H998" s="9" t="str">
        <f>_xlfn.XLOOKUP(C998,customers!$A$2:$A$1001,customers!$G$2:$G$1001,"")</f>
        <v>United States</v>
      </c>
      <c r="I998" s="10" t="str">
        <f>INDEX(products!$A$2:$G$49,MATCH(orders!$D998,products!$A$2:$A$49,0),MATCH(orders!I$1,products!$A$1:$G$1,0))</f>
        <v>Rob</v>
      </c>
      <c r="J998" s="10" t="str">
        <f>INDEX(products!$A$2:$G$49,MATCH(orders!$D998,products!$A$2:$A$49,0),MATCH(orders!J$1,products!$A$1:$G$1,0))</f>
        <v>M</v>
      </c>
      <c r="K998" s="11">
        <f>INDEX(products!$A$2:$G$49,MATCH(orders!$D998,products!$A$2:$A$49,0),MATCH(orders!K$1,products!$A$1:$G$1,0))</f>
        <v>0.5</v>
      </c>
      <c r="L998" s="12">
        <f>INDEX(products!$A$2:$G$49,MATCH(orders!$D998,products!$A$2:$A$49,0),MATCH(orders!L$1,products!$A$1:$G$1,0))</f>
        <v>5.97</v>
      </c>
      <c r="M998" s="12">
        <f t="shared" si="45"/>
        <v>29.849999999999998</v>
      </c>
      <c r="N998" s="10" t="str">
        <f t="shared" si="46"/>
        <v>Robusta</v>
      </c>
      <c r="O998" s="10" t="str">
        <f t="shared" si="47"/>
        <v>Medium</v>
      </c>
      <c r="P998" s="10" t="str">
        <f>_xlfn.XLOOKUP(Tableau1[[#This Row],[Customer ID]],customers!A$2:A$1001,customers!I$2:I$1001)</f>
        <v>No</v>
      </c>
    </row>
    <row r="999" spans="1:16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9" t="str">
        <f>_xlfn.XLOOKUP(orders!C999,customers!$A$2:$A$1001,customers!$B$2:$B$1001)</f>
        <v>Marguerite Graves</v>
      </c>
      <c r="G999" s="9" t="str">
        <f>IF(_xlfn.XLOOKUP(orders!C999,customers!$A$2:$A$1001,customers!$C$2:$C$1001,,,)=0,"",_xlfn.XLOOKUP(orders!C999,customers!$A$2:$A$1001,customers!$C$2:$C$1001,,,))</f>
        <v/>
      </c>
      <c r="H999" s="9" t="str">
        <f>_xlfn.XLOOKUP(C999,customers!$A$2:$A$1001,customers!$G$2:$G$1001,"")</f>
        <v>United States</v>
      </c>
      <c r="I999" s="10" t="str">
        <f>INDEX(products!$A$2:$G$49,MATCH(orders!$D999,products!$A$2:$A$49,0),MATCH(orders!I$1,products!$A$1:$G$1,0))</f>
        <v>Ara</v>
      </c>
      <c r="J999" s="10" t="str">
        <f>INDEX(products!$A$2:$G$49,MATCH(orders!$D999,products!$A$2:$A$49,0),MATCH(orders!J$1,products!$A$1:$G$1,0))</f>
        <v>M</v>
      </c>
      <c r="K999" s="11">
        <f>INDEX(products!$A$2:$G$49,MATCH(orders!$D999,products!$A$2:$A$49,0),MATCH(orders!K$1,products!$A$1:$G$1,0))</f>
        <v>0.5</v>
      </c>
      <c r="L999" s="12">
        <f>INDEX(products!$A$2:$G$49,MATCH(orders!$D999,products!$A$2:$A$49,0),MATCH(orders!L$1,products!$A$1:$G$1,0))</f>
        <v>6.75</v>
      </c>
      <c r="M999" s="12">
        <f t="shared" si="45"/>
        <v>27</v>
      </c>
      <c r="N999" s="10" t="str">
        <f t="shared" si="46"/>
        <v>Arabica</v>
      </c>
      <c r="O999" s="10" t="str">
        <f t="shared" si="47"/>
        <v>Medium</v>
      </c>
      <c r="P999" s="10" t="str">
        <f>_xlfn.XLOOKUP(Tableau1[[#This Row],[Customer ID]],customers!A$2:A$1001,customers!I$2:I$1001)</f>
        <v>No</v>
      </c>
    </row>
    <row r="1000" spans="1:16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9" t="str">
        <f>_xlfn.XLOOKUP(orders!C1000,customers!$A$2:$A$1001,customers!$B$2:$B$1001)</f>
        <v>Nicolina Jenny</v>
      </c>
      <c r="G1000" s="9" t="str">
        <f>IF(_xlfn.XLOOKUP(orders!C1000,customers!$A$2:$A$1001,customers!$C$2:$C$1001,,,)=0,"",_xlfn.XLOOKUP(orders!C1000,customers!$A$2:$A$1001,customers!$C$2:$C$1001,,,))</f>
        <v>njennyrq@bigcartel.com</v>
      </c>
      <c r="H1000" s="9" t="str">
        <f>_xlfn.XLOOKUP(C1000,customers!$A$2:$A$1001,customers!$G$2:$G$1001,"")</f>
        <v>United States</v>
      </c>
      <c r="I1000" s="10" t="str">
        <f>INDEX(products!$A$2:$G$49,MATCH(orders!$D1000,products!$A$2:$A$49,0),MATCH(orders!I$1,products!$A$1:$G$1,0))</f>
        <v>Ara</v>
      </c>
      <c r="J1000" s="10" t="str">
        <f>INDEX(products!$A$2:$G$49,MATCH(orders!$D1000,products!$A$2:$A$49,0),MATCH(orders!J$1,products!$A$1:$G$1,0))</f>
        <v>D</v>
      </c>
      <c r="K1000" s="11">
        <f>INDEX(products!$A$2:$G$49,MATCH(orders!$D1000,products!$A$2:$A$49,0),MATCH(orders!K$1,products!$A$1:$G$1,0))</f>
        <v>1</v>
      </c>
      <c r="L1000" s="12">
        <f>INDEX(products!$A$2:$G$49,MATCH(orders!$D1000,products!$A$2:$A$49,0),MATCH(orders!L$1,products!$A$1:$G$1,0))</f>
        <v>9.9499999999999993</v>
      </c>
      <c r="M1000" s="12">
        <f t="shared" si="45"/>
        <v>9.9499999999999993</v>
      </c>
      <c r="N1000" s="10" t="str">
        <f t="shared" si="46"/>
        <v>Arabica</v>
      </c>
      <c r="O1000" s="10" t="str">
        <f t="shared" si="47"/>
        <v>Dark</v>
      </c>
      <c r="P1000" s="10" t="str">
        <f>_xlfn.XLOOKUP(Tableau1[[#This Row],[Customer ID]],customers!A$2:A$1001,customers!I$2:I$1001)</f>
        <v>No</v>
      </c>
    </row>
    <row r="1001" spans="1:16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9" t="str">
        <f>_xlfn.XLOOKUP(orders!C1001,customers!$A$2:$A$1001,customers!$B$2:$B$1001)</f>
        <v>Vidovic Antonelli</v>
      </c>
      <c r="G1001" s="9" t="str">
        <f>IF(_xlfn.XLOOKUP(orders!C1001,customers!$A$2:$A$1001,customers!$C$2:$C$1001,,,)=0,"",_xlfn.XLOOKUP(orders!C1001,customers!$A$2:$A$1001,customers!$C$2:$C$1001,,,))</f>
        <v/>
      </c>
      <c r="H1001" s="9" t="str">
        <f>_xlfn.XLOOKUP(C1001,customers!$A$2:$A$1001,customers!$G$2:$G$1001,"")</f>
        <v>United Kingdom</v>
      </c>
      <c r="I1001" s="10" t="str">
        <f>INDEX(products!$A$2:$G$49,MATCH(orders!$D1001,products!$A$2:$A$49,0),MATCH(orders!I$1,products!$A$1:$G$1,0))</f>
        <v>Exc</v>
      </c>
      <c r="J1001" s="10" t="str">
        <f>INDEX(products!$A$2:$G$49,MATCH(orders!$D1001,products!$A$2:$A$49,0),MATCH(orders!J$1,products!$A$1:$G$1,0))</f>
        <v>M</v>
      </c>
      <c r="K1001" s="11">
        <f>INDEX(products!$A$2:$G$49,MATCH(orders!$D1001,products!$A$2:$A$49,0),MATCH(orders!K$1,products!$A$1:$G$1,0))</f>
        <v>0.2</v>
      </c>
      <c r="L1001" s="12">
        <f>INDEX(products!$A$2:$G$49,MATCH(orders!$D1001,products!$A$2:$A$49,0),MATCH(orders!L$1,products!$A$1:$G$1,0))</f>
        <v>4.125</v>
      </c>
      <c r="M1001" s="12">
        <f t="shared" si="45"/>
        <v>12.375</v>
      </c>
      <c r="N1001" s="10" t="str">
        <f t="shared" si="46"/>
        <v>Excelsa</v>
      </c>
      <c r="O1001" s="10" t="str">
        <f t="shared" si="47"/>
        <v>Medium</v>
      </c>
      <c r="P1001" s="10" t="str">
        <f>_xlfn.XLOOKUP(Tableau1[[#This Row],[Customer ID]],customers!A$2:A$1001,customers!I$2:I$1001)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4" workbookViewId="0">
      <selection activeCell="H17" sqref="H17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117" workbookViewId="0">
      <selection activeCell="E2" sqref="E2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E7B0-94FA-A94A-9433-9896400464EB}">
  <dimension ref="N1:N11"/>
  <sheetViews>
    <sheetView showGridLines="0" showRowColHeaders="0" topLeftCell="B3" zoomScale="90" workbookViewId="0">
      <selection activeCell="AC22" sqref="AC22"/>
    </sheetView>
  </sheetViews>
  <sheetFormatPr baseColWidth="10" defaultRowHeight="15" x14ac:dyDescent="0.2"/>
  <cols>
    <col min="1" max="1" width="1.83203125" style="8" customWidth="1"/>
    <col min="2" max="16384" width="10.83203125" style="8"/>
  </cols>
  <sheetData>
    <row r="1" spans="14:14" s="8" customFormat="1" ht="3" customHeight="1" x14ac:dyDescent="0.2"/>
    <row r="11" spans="14:14" s="8" customFormat="1" x14ac:dyDescent="0.2">
      <c r="N11" s="8" t="s">
        <v>6198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EC72-6E63-474E-8554-C9607B9A84A7}">
  <dimension ref="A3:G53"/>
  <sheetViews>
    <sheetView topLeftCell="B1" zoomScaleNormal="100" workbookViewId="0">
      <selection activeCell="G33" sqref="G33"/>
    </sheetView>
  </sheetViews>
  <sheetFormatPr baseColWidth="10" defaultRowHeight="15" x14ac:dyDescent="0.2"/>
  <cols>
    <col min="1" max="1" width="19.5" bestFit="1" customWidth="1"/>
    <col min="2" max="2" width="17.33203125" bestFit="1" customWidth="1"/>
    <col min="3" max="6" width="16.5" bestFit="1" customWidth="1"/>
    <col min="7" max="7" width="11.1640625" bestFit="1" customWidth="1"/>
  </cols>
  <sheetData>
    <row r="3" spans="1:7" x14ac:dyDescent="0.2">
      <c r="A3" s="5" t="s">
        <v>6199</v>
      </c>
      <c r="C3" s="5" t="s">
        <v>6197</v>
      </c>
    </row>
    <row r="4" spans="1:7" x14ac:dyDescent="0.2">
      <c r="A4" s="5" t="s">
        <v>6221</v>
      </c>
      <c r="B4" s="5" t="s">
        <v>6222</v>
      </c>
      <c r="C4" t="s">
        <v>6217</v>
      </c>
      <c r="D4" t="s">
        <v>6218</v>
      </c>
      <c r="E4" t="s">
        <v>6219</v>
      </c>
      <c r="F4" t="s">
        <v>6220</v>
      </c>
      <c r="G4" t="s">
        <v>6200</v>
      </c>
    </row>
    <row r="5" spans="1:7" x14ac:dyDescent="0.2">
      <c r="A5" t="s">
        <v>6201</v>
      </c>
      <c r="B5" t="s">
        <v>6205</v>
      </c>
      <c r="C5" s="6">
        <v>186.85499999999999</v>
      </c>
      <c r="D5" s="6">
        <v>305.97000000000003</v>
      </c>
      <c r="E5" s="6">
        <v>213.15999999999997</v>
      </c>
      <c r="F5" s="6">
        <v>123</v>
      </c>
      <c r="G5" s="6">
        <v>828.98500000000001</v>
      </c>
    </row>
    <row r="6" spans="1:7" x14ac:dyDescent="0.2">
      <c r="B6" t="s">
        <v>6206</v>
      </c>
      <c r="C6" s="6">
        <v>251.96499999999997</v>
      </c>
      <c r="D6" s="6">
        <v>129.46</v>
      </c>
      <c r="E6" s="6">
        <v>434.03999999999996</v>
      </c>
      <c r="F6" s="6">
        <v>171.93999999999997</v>
      </c>
      <c r="G6" s="6">
        <v>987.40499999999986</v>
      </c>
    </row>
    <row r="7" spans="1:7" x14ac:dyDescent="0.2">
      <c r="B7" t="s">
        <v>6207</v>
      </c>
      <c r="C7" s="6">
        <v>224.94499999999999</v>
      </c>
      <c r="D7" s="6">
        <v>349.12</v>
      </c>
      <c r="E7" s="6">
        <v>321.04000000000002</v>
      </c>
      <c r="F7" s="6">
        <v>126.035</v>
      </c>
      <c r="G7" s="6">
        <v>1021.14</v>
      </c>
    </row>
    <row r="8" spans="1:7" x14ac:dyDescent="0.2">
      <c r="B8" t="s">
        <v>6208</v>
      </c>
      <c r="C8" s="6">
        <v>307.12</v>
      </c>
      <c r="D8" s="6">
        <v>681.07499999999993</v>
      </c>
      <c r="E8" s="6">
        <v>533.70499999999993</v>
      </c>
      <c r="F8" s="6">
        <v>158.85</v>
      </c>
      <c r="G8" s="6">
        <v>1680.7499999999998</v>
      </c>
    </row>
    <row r="9" spans="1:7" x14ac:dyDescent="0.2">
      <c r="B9" t="s">
        <v>6209</v>
      </c>
      <c r="C9" s="6">
        <v>53.664999999999992</v>
      </c>
      <c r="D9" s="6">
        <v>83.025000000000006</v>
      </c>
      <c r="E9" s="6">
        <v>193.83499999999998</v>
      </c>
      <c r="F9" s="6">
        <v>68.039999999999992</v>
      </c>
      <c r="G9" s="6">
        <v>398.56499999999994</v>
      </c>
    </row>
    <row r="10" spans="1:7" x14ac:dyDescent="0.2">
      <c r="B10" t="s">
        <v>6210</v>
      </c>
      <c r="C10" s="6">
        <v>163.01999999999998</v>
      </c>
      <c r="D10" s="6">
        <v>678.3599999999999</v>
      </c>
      <c r="E10" s="6">
        <v>171.04500000000002</v>
      </c>
      <c r="F10" s="6">
        <v>372.255</v>
      </c>
      <c r="G10" s="6">
        <v>1384.6799999999998</v>
      </c>
    </row>
    <row r="11" spans="1:7" x14ac:dyDescent="0.2">
      <c r="B11" t="s">
        <v>6211</v>
      </c>
      <c r="C11" s="6">
        <v>345.02</v>
      </c>
      <c r="D11" s="6">
        <v>273.86999999999995</v>
      </c>
      <c r="E11" s="6">
        <v>184.12999999999997</v>
      </c>
      <c r="F11" s="6">
        <v>201.11499999999998</v>
      </c>
      <c r="G11" s="6">
        <v>1004.1349999999999</v>
      </c>
    </row>
    <row r="12" spans="1:7" x14ac:dyDescent="0.2">
      <c r="B12" t="s">
        <v>6212</v>
      </c>
      <c r="C12" s="6">
        <v>334.89</v>
      </c>
      <c r="D12" s="6">
        <v>70.95</v>
      </c>
      <c r="E12" s="6">
        <v>134.23000000000002</v>
      </c>
      <c r="F12" s="6">
        <v>166.27499999999998</v>
      </c>
      <c r="G12" s="6">
        <v>706.34499999999991</v>
      </c>
    </row>
    <row r="13" spans="1:7" x14ac:dyDescent="0.2">
      <c r="B13" t="s">
        <v>6213</v>
      </c>
      <c r="C13" s="6">
        <v>178.70999999999998</v>
      </c>
      <c r="D13" s="6">
        <v>166.1</v>
      </c>
      <c r="E13" s="6">
        <v>439.30999999999995</v>
      </c>
      <c r="F13" s="6">
        <v>492.9</v>
      </c>
      <c r="G13" s="6">
        <v>1277.02</v>
      </c>
    </row>
    <row r="14" spans="1:7" x14ac:dyDescent="0.2">
      <c r="B14" t="s">
        <v>6214</v>
      </c>
      <c r="C14" s="6">
        <v>301.98500000000001</v>
      </c>
      <c r="D14" s="6">
        <v>153.76499999999999</v>
      </c>
      <c r="E14" s="6">
        <v>215.55499999999998</v>
      </c>
      <c r="F14" s="6">
        <v>213.66499999999999</v>
      </c>
      <c r="G14" s="6">
        <v>884.96999999999991</v>
      </c>
    </row>
    <row r="15" spans="1:7" x14ac:dyDescent="0.2">
      <c r="B15" t="s">
        <v>6215</v>
      </c>
      <c r="C15" s="6">
        <v>312.83499999999998</v>
      </c>
      <c r="D15" s="6">
        <v>63.249999999999993</v>
      </c>
      <c r="E15" s="6">
        <v>350.89500000000004</v>
      </c>
      <c r="F15" s="6">
        <v>96.405000000000001</v>
      </c>
      <c r="G15" s="6">
        <v>823.38499999999999</v>
      </c>
    </row>
    <row r="16" spans="1:7" x14ac:dyDescent="0.2">
      <c r="B16" t="s">
        <v>6216</v>
      </c>
      <c r="C16" s="6">
        <v>265.62</v>
      </c>
      <c r="D16" s="6">
        <v>526.51499999999987</v>
      </c>
      <c r="E16" s="6">
        <v>187.06</v>
      </c>
      <c r="F16" s="6">
        <v>210.58999999999997</v>
      </c>
      <c r="G16" s="6">
        <v>1189.7849999999999</v>
      </c>
    </row>
    <row r="17" spans="1:7" x14ac:dyDescent="0.2">
      <c r="A17" t="s">
        <v>6223</v>
      </c>
      <c r="C17" s="6">
        <v>2926.63</v>
      </c>
      <c r="D17" s="6">
        <v>3481.4599999999996</v>
      </c>
      <c r="E17" s="6">
        <v>3378.0049999999997</v>
      </c>
      <c r="F17" s="6">
        <v>2401.0700000000002</v>
      </c>
      <c r="G17" s="6">
        <v>12187.164999999999</v>
      </c>
    </row>
    <row r="18" spans="1:7" x14ac:dyDescent="0.2">
      <c r="A18" t="s">
        <v>6202</v>
      </c>
      <c r="B18" t="s">
        <v>6205</v>
      </c>
      <c r="C18" s="6">
        <v>47.25</v>
      </c>
      <c r="D18" s="6">
        <v>65.805000000000007</v>
      </c>
      <c r="E18" s="6">
        <v>274.67500000000001</v>
      </c>
      <c r="F18" s="6">
        <v>179.22</v>
      </c>
      <c r="G18" s="6">
        <v>566.95000000000005</v>
      </c>
    </row>
    <row r="19" spans="1:7" x14ac:dyDescent="0.2">
      <c r="B19" t="s">
        <v>6206</v>
      </c>
      <c r="C19" s="6">
        <v>745.44999999999993</v>
      </c>
      <c r="D19" s="6">
        <v>428.88499999999999</v>
      </c>
      <c r="E19" s="6">
        <v>194.17499999999998</v>
      </c>
      <c r="F19" s="6">
        <v>429.82999999999993</v>
      </c>
      <c r="G19" s="6">
        <v>1798.34</v>
      </c>
    </row>
    <row r="20" spans="1:7" x14ac:dyDescent="0.2">
      <c r="B20" t="s">
        <v>6207</v>
      </c>
      <c r="C20" s="6">
        <v>130.47</v>
      </c>
      <c r="D20" s="6">
        <v>271.48500000000001</v>
      </c>
      <c r="E20" s="6">
        <v>281.20499999999998</v>
      </c>
      <c r="F20" s="6">
        <v>231.63000000000002</v>
      </c>
      <c r="G20" s="6">
        <v>914.79000000000008</v>
      </c>
    </row>
    <row r="21" spans="1:7" x14ac:dyDescent="0.2">
      <c r="B21" t="s">
        <v>6208</v>
      </c>
      <c r="C21" s="6">
        <v>27</v>
      </c>
      <c r="D21" s="6">
        <v>347.26</v>
      </c>
      <c r="E21" s="6">
        <v>147.51</v>
      </c>
      <c r="F21" s="6">
        <v>240.04</v>
      </c>
      <c r="G21" s="6">
        <v>761.81</v>
      </c>
    </row>
    <row r="22" spans="1:7" x14ac:dyDescent="0.2">
      <c r="B22" t="s">
        <v>6209</v>
      </c>
      <c r="C22" s="6">
        <v>255.11499999999995</v>
      </c>
      <c r="D22" s="6">
        <v>541.73</v>
      </c>
      <c r="E22" s="6">
        <v>83.43</v>
      </c>
      <c r="F22" s="6">
        <v>59.079999999999991</v>
      </c>
      <c r="G22" s="6">
        <v>939.35500000000013</v>
      </c>
    </row>
    <row r="23" spans="1:7" x14ac:dyDescent="0.2">
      <c r="B23" t="s">
        <v>6210</v>
      </c>
      <c r="C23" s="6">
        <v>584.78999999999985</v>
      </c>
      <c r="D23" s="6">
        <v>357.42999999999995</v>
      </c>
      <c r="E23" s="6">
        <v>355.34</v>
      </c>
      <c r="F23" s="6">
        <v>140.88</v>
      </c>
      <c r="G23" s="6">
        <v>1438.4399999999996</v>
      </c>
    </row>
    <row r="24" spans="1:7" x14ac:dyDescent="0.2">
      <c r="B24" t="s">
        <v>6211</v>
      </c>
      <c r="C24" s="6">
        <v>430.62</v>
      </c>
      <c r="D24" s="6">
        <v>227.42500000000001</v>
      </c>
      <c r="E24" s="6">
        <v>236.315</v>
      </c>
      <c r="F24" s="6">
        <v>414.58499999999992</v>
      </c>
      <c r="G24" s="6">
        <v>1308.9450000000002</v>
      </c>
    </row>
    <row r="25" spans="1:7" x14ac:dyDescent="0.2">
      <c r="B25" t="s">
        <v>6212</v>
      </c>
      <c r="C25" s="6">
        <v>22.5</v>
      </c>
      <c r="D25" s="6">
        <v>77.72</v>
      </c>
      <c r="E25" s="6">
        <v>60.5</v>
      </c>
      <c r="F25" s="6">
        <v>139.67999999999998</v>
      </c>
      <c r="G25" s="6">
        <v>300.39999999999998</v>
      </c>
    </row>
    <row r="26" spans="1:7" x14ac:dyDescent="0.2">
      <c r="B26" t="s">
        <v>6213</v>
      </c>
      <c r="C26" s="6">
        <v>126.14999999999999</v>
      </c>
      <c r="D26" s="6">
        <v>195.11</v>
      </c>
      <c r="E26" s="6">
        <v>89.13</v>
      </c>
      <c r="F26" s="6">
        <v>302.65999999999997</v>
      </c>
      <c r="G26" s="6">
        <v>713.05</v>
      </c>
    </row>
    <row r="27" spans="1:7" x14ac:dyDescent="0.2">
      <c r="B27" t="s">
        <v>6214</v>
      </c>
      <c r="C27" s="6">
        <v>376.03</v>
      </c>
      <c r="D27" s="6">
        <v>523.24</v>
      </c>
      <c r="E27" s="6">
        <v>440.96499999999997</v>
      </c>
      <c r="F27" s="6">
        <v>174.46999999999997</v>
      </c>
      <c r="G27" s="6">
        <v>1514.7049999999999</v>
      </c>
    </row>
    <row r="28" spans="1:7" x14ac:dyDescent="0.2">
      <c r="B28" t="s">
        <v>6215</v>
      </c>
      <c r="C28" s="6">
        <v>515.17999999999995</v>
      </c>
      <c r="D28" s="6">
        <v>142.56</v>
      </c>
      <c r="E28" s="6">
        <v>347.03999999999996</v>
      </c>
      <c r="F28" s="6">
        <v>104.08499999999999</v>
      </c>
      <c r="G28" s="6">
        <v>1108.865</v>
      </c>
    </row>
    <row r="29" spans="1:7" x14ac:dyDescent="0.2">
      <c r="B29" t="s">
        <v>6216</v>
      </c>
      <c r="C29" s="6">
        <v>95.859999999999985</v>
      </c>
      <c r="D29" s="6">
        <v>484.76</v>
      </c>
      <c r="E29" s="6">
        <v>94.17</v>
      </c>
      <c r="F29" s="6">
        <v>77.10499999999999</v>
      </c>
      <c r="G29" s="6">
        <v>751.89499999999998</v>
      </c>
    </row>
    <row r="30" spans="1:7" x14ac:dyDescent="0.2">
      <c r="A30" t="s">
        <v>6224</v>
      </c>
      <c r="C30" s="6">
        <v>3356.415</v>
      </c>
      <c r="D30" s="6">
        <v>3663.41</v>
      </c>
      <c r="E30" s="6">
        <v>2604.4550000000004</v>
      </c>
      <c r="F30" s="6">
        <v>2493.2649999999999</v>
      </c>
      <c r="G30" s="6">
        <v>12117.544999999998</v>
      </c>
    </row>
    <row r="31" spans="1:7" x14ac:dyDescent="0.2">
      <c r="A31" t="s">
        <v>6203</v>
      </c>
      <c r="B31" t="s">
        <v>6205</v>
      </c>
      <c r="C31" s="6">
        <v>258.34500000000003</v>
      </c>
      <c r="D31" s="6">
        <v>139.625</v>
      </c>
      <c r="E31" s="6">
        <v>279.52000000000004</v>
      </c>
      <c r="F31" s="6">
        <v>160.19499999999999</v>
      </c>
      <c r="G31" s="6">
        <v>837.68499999999995</v>
      </c>
    </row>
    <row r="32" spans="1:7" x14ac:dyDescent="0.2">
      <c r="B32" t="s">
        <v>6206</v>
      </c>
      <c r="C32" s="6">
        <v>342.2</v>
      </c>
      <c r="D32" s="6">
        <v>284.24999999999994</v>
      </c>
      <c r="E32" s="6">
        <v>251.83</v>
      </c>
      <c r="F32" s="6">
        <v>80.550000000000011</v>
      </c>
      <c r="G32" s="6">
        <v>958.82999999999993</v>
      </c>
    </row>
    <row r="33" spans="1:7" x14ac:dyDescent="0.2">
      <c r="B33" t="s">
        <v>6207</v>
      </c>
      <c r="C33" s="6">
        <v>418.30499999999989</v>
      </c>
      <c r="D33" s="6">
        <v>468.125</v>
      </c>
      <c r="E33" s="6">
        <v>405.05500000000006</v>
      </c>
      <c r="F33" s="6">
        <v>253.15499999999997</v>
      </c>
      <c r="G33" s="6">
        <v>1544.6399999999999</v>
      </c>
    </row>
    <row r="34" spans="1:7" x14ac:dyDescent="0.2">
      <c r="B34" t="s">
        <v>6208</v>
      </c>
      <c r="C34" s="6">
        <v>102.32999999999998</v>
      </c>
      <c r="D34" s="6">
        <v>242.14000000000001</v>
      </c>
      <c r="E34" s="6">
        <v>554.875</v>
      </c>
      <c r="F34" s="6">
        <v>106.23999999999998</v>
      </c>
      <c r="G34" s="6">
        <v>1005.585</v>
      </c>
    </row>
    <row r="35" spans="1:7" x14ac:dyDescent="0.2">
      <c r="B35" t="s">
        <v>6209</v>
      </c>
      <c r="C35" s="6">
        <v>234.71999999999997</v>
      </c>
      <c r="D35" s="6">
        <v>133.08000000000001</v>
      </c>
      <c r="E35" s="6">
        <v>267.2</v>
      </c>
      <c r="F35" s="6">
        <v>272.68999999999994</v>
      </c>
      <c r="G35" s="6">
        <v>907.68999999999994</v>
      </c>
    </row>
    <row r="36" spans="1:7" x14ac:dyDescent="0.2">
      <c r="B36" t="s">
        <v>6210</v>
      </c>
      <c r="C36" s="6">
        <v>430.39</v>
      </c>
      <c r="D36" s="6">
        <v>136.20500000000001</v>
      </c>
      <c r="E36" s="6">
        <v>209.6</v>
      </c>
      <c r="F36" s="6">
        <v>88.334999999999994</v>
      </c>
      <c r="G36" s="6">
        <v>864.53000000000009</v>
      </c>
    </row>
    <row r="37" spans="1:7" x14ac:dyDescent="0.2">
      <c r="B37" t="s">
        <v>6211</v>
      </c>
      <c r="C37" s="6">
        <v>109.005</v>
      </c>
      <c r="D37" s="6">
        <v>393.57499999999999</v>
      </c>
      <c r="E37" s="6">
        <v>61.034999999999997</v>
      </c>
      <c r="F37" s="6">
        <v>199.48999999999998</v>
      </c>
      <c r="G37" s="6">
        <v>763.10500000000002</v>
      </c>
    </row>
    <row r="38" spans="1:7" x14ac:dyDescent="0.2">
      <c r="B38" t="s">
        <v>6212</v>
      </c>
      <c r="C38" s="6">
        <v>287.52499999999998</v>
      </c>
      <c r="D38" s="6">
        <v>288.67</v>
      </c>
      <c r="E38" s="6">
        <v>125.58</v>
      </c>
      <c r="F38" s="6">
        <v>374.13499999999999</v>
      </c>
      <c r="G38" s="6">
        <v>1075.9099999999999</v>
      </c>
    </row>
    <row r="39" spans="1:7" x14ac:dyDescent="0.2">
      <c r="B39" t="s">
        <v>6213</v>
      </c>
      <c r="C39" s="6">
        <v>840.92999999999984</v>
      </c>
      <c r="D39" s="6">
        <v>409.875</v>
      </c>
      <c r="E39" s="6">
        <v>171.32999999999998</v>
      </c>
      <c r="F39" s="6">
        <v>221.43999999999997</v>
      </c>
      <c r="G39" s="6">
        <v>1643.5749999999998</v>
      </c>
    </row>
    <row r="40" spans="1:7" x14ac:dyDescent="0.2">
      <c r="B40" t="s">
        <v>6214</v>
      </c>
      <c r="C40" s="6">
        <v>299.07</v>
      </c>
      <c r="D40" s="6">
        <v>260.32499999999999</v>
      </c>
      <c r="E40" s="6">
        <v>584.64</v>
      </c>
      <c r="F40" s="6">
        <v>256.36500000000001</v>
      </c>
      <c r="G40" s="6">
        <v>1400.3999999999999</v>
      </c>
    </row>
    <row r="41" spans="1:7" x14ac:dyDescent="0.2">
      <c r="B41" t="s">
        <v>6215</v>
      </c>
      <c r="C41" s="6">
        <v>323.32499999999999</v>
      </c>
      <c r="D41" s="6">
        <v>565.57000000000005</v>
      </c>
      <c r="E41" s="6">
        <v>537.80999999999995</v>
      </c>
      <c r="F41" s="6">
        <v>189.47499999999999</v>
      </c>
      <c r="G41" s="6">
        <v>1616.1799999999998</v>
      </c>
    </row>
    <row r="42" spans="1:7" x14ac:dyDescent="0.2">
      <c r="B42" t="s">
        <v>6216</v>
      </c>
      <c r="C42" s="6">
        <v>399.48499999999996</v>
      </c>
      <c r="D42" s="6">
        <v>148.19999999999999</v>
      </c>
      <c r="E42" s="6">
        <v>388.21999999999997</v>
      </c>
      <c r="F42" s="6">
        <v>212.07499999999999</v>
      </c>
      <c r="G42" s="6">
        <v>1147.98</v>
      </c>
    </row>
    <row r="43" spans="1:7" x14ac:dyDescent="0.2">
      <c r="A43" t="s">
        <v>6225</v>
      </c>
      <c r="C43" s="6">
        <v>4045.63</v>
      </c>
      <c r="D43" s="6">
        <v>3469.64</v>
      </c>
      <c r="E43" s="6">
        <v>3836.6949999999997</v>
      </c>
      <c r="F43" s="6">
        <v>2414.145</v>
      </c>
      <c r="G43" s="6">
        <v>13766.109999999999</v>
      </c>
    </row>
    <row r="44" spans="1:7" x14ac:dyDescent="0.2">
      <c r="A44" t="s">
        <v>6204</v>
      </c>
      <c r="B44" t="s">
        <v>6205</v>
      </c>
      <c r="C44" s="6">
        <v>112.69499999999999</v>
      </c>
      <c r="D44" s="6">
        <v>166.32</v>
      </c>
      <c r="E44" s="6">
        <v>843.71499999999992</v>
      </c>
      <c r="F44" s="6">
        <v>146.685</v>
      </c>
      <c r="G44" s="6">
        <v>1269.415</v>
      </c>
    </row>
    <row r="45" spans="1:7" x14ac:dyDescent="0.2">
      <c r="B45" t="s">
        <v>6206</v>
      </c>
      <c r="C45" s="6">
        <v>114.87999999999998</v>
      </c>
      <c r="D45" s="6">
        <v>133.815</v>
      </c>
      <c r="E45" s="6">
        <v>91.175000000000011</v>
      </c>
      <c r="F45" s="6">
        <v>53.759999999999991</v>
      </c>
      <c r="G45" s="6">
        <v>393.63</v>
      </c>
    </row>
    <row r="46" spans="1:7" x14ac:dyDescent="0.2">
      <c r="B46" t="s">
        <v>6207</v>
      </c>
      <c r="C46" s="6">
        <v>277.76</v>
      </c>
      <c r="D46" s="6">
        <v>175.41</v>
      </c>
      <c r="E46" s="6">
        <v>462.50999999999993</v>
      </c>
      <c r="F46" s="6">
        <v>399.52499999999998</v>
      </c>
      <c r="G46" s="6">
        <v>1315.2049999999999</v>
      </c>
    </row>
    <row r="47" spans="1:7" x14ac:dyDescent="0.2">
      <c r="B47" t="s">
        <v>6208</v>
      </c>
      <c r="C47" s="6">
        <v>197.89499999999998</v>
      </c>
      <c r="D47" s="6">
        <v>289.755</v>
      </c>
      <c r="E47" s="6">
        <v>88.545000000000002</v>
      </c>
      <c r="F47" s="6">
        <v>200.25499999999997</v>
      </c>
      <c r="G47" s="6">
        <v>776.44999999999993</v>
      </c>
    </row>
    <row r="48" spans="1:7" x14ac:dyDescent="0.2">
      <c r="B48" t="s">
        <v>6209</v>
      </c>
      <c r="C48" s="6">
        <v>193.11499999999998</v>
      </c>
      <c r="D48" s="6">
        <v>212.49499999999998</v>
      </c>
      <c r="E48" s="6">
        <v>292.29000000000002</v>
      </c>
      <c r="F48" s="6">
        <v>304.46999999999997</v>
      </c>
      <c r="G48" s="6">
        <v>1002.3699999999999</v>
      </c>
    </row>
    <row r="49" spans="1:7" x14ac:dyDescent="0.2">
      <c r="B49" t="s">
        <v>6210</v>
      </c>
      <c r="C49" s="6">
        <v>179.79</v>
      </c>
      <c r="D49" s="6">
        <v>426.2</v>
      </c>
      <c r="E49" s="6">
        <v>170.08999999999997</v>
      </c>
      <c r="F49" s="6">
        <v>379.31</v>
      </c>
      <c r="G49" s="6">
        <v>1155.3899999999999</v>
      </c>
    </row>
    <row r="50" spans="1:7" x14ac:dyDescent="0.2">
      <c r="B50" t="s">
        <v>6211</v>
      </c>
      <c r="C50" s="6">
        <v>247.28999999999996</v>
      </c>
      <c r="D50" s="6">
        <v>246.685</v>
      </c>
      <c r="E50" s="6">
        <v>271.05499999999995</v>
      </c>
      <c r="F50" s="6">
        <v>141.69999999999999</v>
      </c>
      <c r="G50" s="6">
        <v>906.73</v>
      </c>
    </row>
    <row r="51" spans="1:7" x14ac:dyDescent="0.2">
      <c r="B51" t="s">
        <v>6212</v>
      </c>
      <c r="C51" s="6">
        <v>116.39499999999998</v>
      </c>
      <c r="D51" s="6">
        <v>41.25</v>
      </c>
      <c r="E51" s="6">
        <v>15.54</v>
      </c>
      <c r="F51" s="6">
        <v>71.06</v>
      </c>
      <c r="G51" s="6">
        <v>244.24499999999998</v>
      </c>
    </row>
    <row r="52" spans="1:7" x14ac:dyDescent="0.2">
      <c r="A52" t="s">
        <v>6226</v>
      </c>
      <c r="C52" s="6">
        <v>1439.82</v>
      </c>
      <c r="D52" s="6">
        <v>1691.9299999999998</v>
      </c>
      <c r="E52" s="6">
        <v>2234.9199999999996</v>
      </c>
      <c r="F52" s="6">
        <v>1696.7649999999999</v>
      </c>
      <c r="G52" s="6">
        <v>7063.4349999999986</v>
      </c>
    </row>
    <row r="53" spans="1:7" x14ac:dyDescent="0.2">
      <c r="A53" t="s">
        <v>6200</v>
      </c>
      <c r="C53" s="6">
        <v>11768.495000000003</v>
      </c>
      <c r="D53" s="6">
        <v>12306.440000000002</v>
      </c>
      <c r="E53" s="6">
        <v>12054.075000000003</v>
      </c>
      <c r="F53" s="6">
        <v>9005.244999999999</v>
      </c>
      <c r="G53" s="6">
        <v>45134.255000000005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4D39-1D65-3E45-BA4F-A7E813C10911}">
  <dimension ref="A3:U16"/>
  <sheetViews>
    <sheetView zoomScale="107" zoomScaleNormal="100" workbookViewId="0">
      <selection activeCell="B6" sqref="B6"/>
    </sheetView>
  </sheetViews>
  <sheetFormatPr baseColWidth="10" defaultRowHeight="15" x14ac:dyDescent="0.2"/>
  <cols>
    <col min="1" max="1" width="13.5" bestFit="1" customWidth="1"/>
    <col min="2" max="2" width="13.83203125" bestFit="1" customWidth="1"/>
    <col min="3" max="5" width="17.33203125" bestFit="1" customWidth="1"/>
    <col min="6" max="8" width="11.1640625" bestFit="1" customWidth="1"/>
  </cols>
  <sheetData>
    <row r="3" spans="1:21" x14ac:dyDescent="0.2">
      <c r="A3" s="5" t="s">
        <v>7</v>
      </c>
      <c r="B3" t="s">
        <v>6199</v>
      </c>
    </row>
    <row r="4" spans="1:21" x14ac:dyDescent="0.2">
      <c r="A4" t="s">
        <v>28</v>
      </c>
      <c r="B4" s="7">
        <v>2798.5050000000001</v>
      </c>
    </row>
    <row r="5" spans="1:21" x14ac:dyDescent="0.2">
      <c r="A5" t="s">
        <v>318</v>
      </c>
      <c r="B5" s="7">
        <v>6696.8649999999989</v>
      </c>
    </row>
    <row r="6" spans="1:21" x14ac:dyDescent="0.2">
      <c r="A6" t="s">
        <v>19</v>
      </c>
      <c r="B6" s="7">
        <v>35638.88499999998</v>
      </c>
    </row>
    <row r="7" spans="1:21" x14ac:dyDescent="0.2">
      <c r="A7" t="s">
        <v>6200</v>
      </c>
      <c r="B7" s="7">
        <v>45134.254999999976</v>
      </c>
    </row>
    <row r="16" spans="1:21" x14ac:dyDescent="0.2">
      <c r="U16" t="s">
        <v>6198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11FC-3867-E544-8F8C-E41E1F9C37B9}">
  <dimension ref="A3:U16"/>
  <sheetViews>
    <sheetView zoomScale="107" zoomScaleNormal="100" workbookViewId="0">
      <selection activeCell="A3" sqref="A3"/>
    </sheetView>
  </sheetViews>
  <sheetFormatPr baseColWidth="10" defaultRowHeight="15" x14ac:dyDescent="0.2"/>
  <cols>
    <col min="1" max="1" width="16" bestFit="1" customWidth="1"/>
    <col min="2" max="2" width="13.83203125" bestFit="1" customWidth="1"/>
    <col min="3" max="5" width="17.33203125" bestFit="1" customWidth="1"/>
    <col min="6" max="8" width="11.1640625" bestFit="1" customWidth="1"/>
  </cols>
  <sheetData>
    <row r="3" spans="1:21" x14ac:dyDescent="0.2">
      <c r="A3" s="5" t="s">
        <v>4</v>
      </c>
      <c r="B3" t="s">
        <v>6199</v>
      </c>
    </row>
    <row r="4" spans="1:21" x14ac:dyDescent="0.2">
      <c r="A4" t="s">
        <v>3753</v>
      </c>
      <c r="B4" s="7">
        <v>278.01</v>
      </c>
    </row>
    <row r="5" spans="1:21" x14ac:dyDescent="0.2">
      <c r="A5" t="s">
        <v>1598</v>
      </c>
      <c r="B5" s="7">
        <v>281.67499999999995</v>
      </c>
    </row>
    <row r="6" spans="1:21" x14ac:dyDescent="0.2">
      <c r="A6" t="s">
        <v>2587</v>
      </c>
      <c r="B6" s="7">
        <v>289.11</v>
      </c>
    </row>
    <row r="7" spans="1:21" x14ac:dyDescent="0.2">
      <c r="A7" t="s">
        <v>5765</v>
      </c>
      <c r="B7" s="7">
        <v>307.04499999999996</v>
      </c>
    </row>
    <row r="8" spans="1:21" x14ac:dyDescent="0.2">
      <c r="A8" t="s">
        <v>5114</v>
      </c>
      <c r="B8" s="7">
        <v>317.06999999999994</v>
      </c>
    </row>
    <row r="9" spans="1:21" x14ac:dyDescent="0.2">
      <c r="A9" t="s">
        <v>6200</v>
      </c>
      <c r="B9" s="7">
        <v>1472.9099999999999</v>
      </c>
    </row>
    <row r="16" spans="1:21" x14ac:dyDescent="0.2">
      <c r="U16" t="s">
        <v>6198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Dashbord</vt:lpstr>
      <vt:lpstr>TotalSales</vt:lpstr>
      <vt:lpstr>Country</vt:lpstr>
      <vt:lpstr>Top 5 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Julien Sun</cp:lastModifiedBy>
  <cp:revision/>
  <dcterms:created xsi:type="dcterms:W3CDTF">2022-11-26T09:51:45Z</dcterms:created>
  <dcterms:modified xsi:type="dcterms:W3CDTF">2025-03-20T16:26:51Z</dcterms:modified>
  <cp:category/>
  <cp:contentStatus/>
</cp:coreProperties>
</file>