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9c6bb6c9261885/Documents/MyDocuments/QuantResearch/technology/apps/"/>
    </mc:Choice>
  </mc:AlternateContent>
  <xr:revisionPtr revIDLastSave="244" documentId="13_ncr:1_{2720300A-A47D-403B-814E-FEB0975D8EC4}" xr6:coauthVersionLast="47" xr6:coauthVersionMax="47" xr10:uidLastSave="{E8F88D54-13B7-4B0A-A0D5-68C5476F58E9}"/>
  <bookViews>
    <workbookView xWindow="-120" yWindow="-120" windowWidth="29040" windowHeight="15720" xr2:uid="{C93E90B5-2C85-4484-B133-42B7883E680C}"/>
  </bookViews>
  <sheets>
    <sheet name="main" sheetId="2" r:id="rId1"/>
    <sheet name="ols_example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2" l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7" i="2" a="1"/>
  <c r="L18" i="2" a="1"/>
  <c r="C5" i="3" a="1"/>
  <c r="C4" i="3" a="1"/>
  <c r="C3" i="2" a="1"/>
  <c r="L19" i="2" a="1"/>
  <c r="C4" i="2" a="1"/>
  <c r="H4" i="3" a="1"/>
  <c r="L18" i="2" l="1"/>
  <c r="L19" i="2"/>
  <c r="L7" i="2"/>
  <c r="C4" i="3"/>
  <c r="H4" i="3"/>
  <c r="C5" i="3"/>
  <c r="C3" i="2"/>
  <c r="C4" i="2"/>
  <c r="G77" i="2" s="1"/>
  <c r="G78" i="2" s="1"/>
  <c r="G79" i="2" s="1"/>
  <c r="B3" i="3" a="1"/>
  <c r="B3" i="3" l="1"/>
  <c r="L28" i="2"/>
  <c r="L16" i="2"/>
  <c r="G52" i="2"/>
  <c r="G53" i="2" s="1"/>
  <c r="C51" i="2"/>
  <c r="G5" i="2"/>
  <c r="G29" i="2"/>
  <c r="G30" i="2" s="1"/>
  <c r="C8" i="2"/>
  <c r="C9" i="2" s="1"/>
  <c r="N5" i="2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L6" i="2" a="1"/>
  <c r="K27" i="2" a="1"/>
  <c r="C7" i="3" a="1"/>
  <c r="C33" i="2" a="1"/>
  <c r="C33" i="2" l="1"/>
  <c r="L6" i="2"/>
  <c r="C52" i="2"/>
  <c r="C7" i="3"/>
  <c r="K27" i="2"/>
  <c r="G6" i="2"/>
  <c r="M38" i="2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L33" i="2" a="1"/>
  <c r="L17" i="2" a="1"/>
  <c r="B9" i="3" a="1"/>
  <c r="K5" i="2" a="1"/>
  <c r="L17" i="2" l="1"/>
  <c r="K5" i="2"/>
  <c r="B9" i="3"/>
  <c r="L33" i="2"/>
  <c r="K15" i="2" a="1"/>
  <c r="L11" i="2" a="1"/>
  <c r="L11" i="2" l="1"/>
  <c r="K15" i="2"/>
  <c r="L23" i="2" a="1"/>
  <c r="L23" i="2" l="1"/>
  <c r="C14" i="2"/>
  <c r="C56" i="2"/>
  <c r="C57" i="2"/>
  <c r="C15" i="2"/>
  <c r="G13" i="2"/>
  <c r="G85" i="2"/>
  <c r="G36" i="2"/>
  <c r="G61" i="2"/>
  <c r="G84" i="2"/>
  <c r="G12" i="2"/>
  <c r="C31" i="2" a="1"/>
  <c r="F76" i="2" a="1"/>
  <c r="F4" i="2" a="1"/>
  <c r="C32" i="2" a="1"/>
  <c r="C32" i="2" l="1"/>
  <c r="C31" i="2"/>
  <c r="G35" i="2"/>
  <c r="G60" i="2"/>
  <c r="F76" i="2"/>
  <c r="F4" i="2"/>
  <c r="G88" i="2" a="1"/>
  <c r="F28" i="2" a="1"/>
  <c r="F51" i="2" a="1"/>
  <c r="B7" i="2" a="1"/>
  <c r="G16" i="2" a="1"/>
  <c r="C36" i="2" l="1"/>
  <c r="C37" i="2" s="1"/>
  <c r="F51" i="2"/>
  <c r="F28" i="2"/>
  <c r="B7" i="2"/>
  <c r="G16" i="2"/>
  <c r="G88" i="2"/>
  <c r="F18" i="2" a="1"/>
  <c r="F90" i="2" a="1"/>
  <c r="C18" i="2" a="1"/>
  <c r="G64" i="2" a="1"/>
  <c r="G39" i="2" a="1"/>
  <c r="C47" i="2" l="1"/>
  <c r="D42" i="2"/>
  <c r="C42" i="2"/>
  <c r="C44" i="2"/>
  <c r="C45" i="2"/>
  <c r="D41" i="2"/>
  <c r="C18" i="2"/>
  <c r="G39" i="2"/>
  <c r="G64" i="2"/>
  <c r="C41" i="2"/>
  <c r="D44" i="2"/>
  <c r="F90" i="2"/>
  <c r="F18" i="2"/>
  <c r="F41" i="2" a="1"/>
  <c r="B20" i="2" a="1"/>
  <c r="F66" i="2" a="1"/>
  <c r="C54" i="2" l="1"/>
  <c r="B20" i="2"/>
  <c r="C43" i="2"/>
  <c r="D45" i="2"/>
  <c r="D43" i="2"/>
  <c r="C40" i="2"/>
  <c r="D40" i="2"/>
  <c r="F66" i="2"/>
  <c r="F41" i="2"/>
  <c r="B50" i="2" a="1"/>
  <c r="B50" i="2" l="1"/>
  <c r="C59" i="2" a="1"/>
  <c r="C59" i="2" l="1"/>
  <c r="B61" i="2" a="1"/>
  <c r="B6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<sst xmlns="http://schemas.openxmlformats.org/spreadsheetml/2006/main" count="138" uniqueCount="72">
  <si>
    <t>calendar</t>
  </si>
  <si>
    <t>day_counter</t>
  </si>
  <si>
    <t>yield_curve</t>
  </si>
  <si>
    <t>dates</t>
  </si>
  <si>
    <t>evaluation_date</t>
  </si>
  <si>
    <t>volatility</t>
  </si>
  <si>
    <t>expiry_date</t>
  </si>
  <si>
    <t>strike_price</t>
  </si>
  <si>
    <t>option_type</t>
  </si>
  <si>
    <t>CALL</t>
  </si>
  <si>
    <t>context</t>
  </si>
  <si>
    <t>FORWARD CURVE</t>
  </si>
  <si>
    <t>UK</t>
  </si>
  <si>
    <t>result</t>
  </si>
  <si>
    <t>rates</t>
  </si>
  <si>
    <t>expirations</t>
  </si>
  <si>
    <t>volatility_matrix</t>
  </si>
  <si>
    <t>exercise_type</t>
  </si>
  <si>
    <t>EUROPEAN</t>
  </si>
  <si>
    <t>price</t>
  </si>
  <si>
    <t>delta</t>
  </si>
  <si>
    <t>gamma</t>
  </si>
  <si>
    <t>theta</t>
  </si>
  <si>
    <t>vega</t>
  </si>
  <si>
    <t>rho</t>
  </si>
  <si>
    <t>steps</t>
  </si>
  <si>
    <t>VANILLA OPTION COLLAR</t>
  </si>
  <si>
    <t>VANILLA OPTION SPREAD</t>
  </si>
  <si>
    <t>strike_price_long</t>
  </si>
  <si>
    <t>strike_price_short</t>
  </si>
  <si>
    <t>VANILLA OPTION BUTTERFLY</t>
  </si>
  <si>
    <t>d1</t>
  </si>
  <si>
    <t>d2</t>
  </si>
  <si>
    <t>PUT</t>
  </si>
  <si>
    <t>strike</t>
  </si>
  <si>
    <t>riskfree_rate</t>
  </si>
  <si>
    <t>volatiltiy</t>
  </si>
  <si>
    <t>years_to_maturity</t>
  </si>
  <si>
    <t>VANILLA OPTIONS</t>
  </si>
  <si>
    <t>EXCEL IMPLEMENTATION / EUROPEAN VANILLA OPTIONS</t>
  </si>
  <si>
    <t>VANILLA OPTION CALENDAR SPREAD</t>
  </si>
  <si>
    <t>forward_price</t>
  </si>
  <si>
    <t>expiry_date_long</t>
  </si>
  <si>
    <t>expiry_date_short</t>
  </si>
  <si>
    <t>correlation</t>
  </si>
  <si>
    <t>paths</t>
  </si>
  <si>
    <t>VOLATILTIY SURFACE</t>
  </si>
  <si>
    <t>ACT/ACT</t>
  </si>
  <si>
    <t>Strike/Maturity</t>
  </si>
  <si>
    <t>Date</t>
  </si>
  <si>
    <t>Rate</t>
  </si>
  <si>
    <t>OPTION STRUCTURES</t>
  </si>
  <si>
    <t>CONSTANT VOLATILTIY</t>
  </si>
  <si>
    <t>strike_prices</t>
  </si>
  <si>
    <t>strike_price_low_long</t>
  </si>
  <si>
    <t>strike_price_middle_short</t>
  </si>
  <si>
    <t>strike_price_high_long</t>
  </si>
  <si>
    <t>strike_price_call_short</t>
  </si>
  <si>
    <t>strike_price_put_long</t>
  </si>
  <si>
    <t xml:space="preserve">  model = LinearRegression()</t>
  </si>
  <si>
    <t>X</t>
  </si>
  <si>
    <t>Y</t>
  </si>
  <si>
    <t xml:space="preserve">  model.fit(X, y)</t>
  </si>
  <si>
    <t>y</t>
  </si>
  <si>
    <t xml:space="preserve">       XLBRICKS OLS EXAMPLE</t>
  </si>
  <si>
    <r>
      <rPr>
        <sz val="10"/>
        <color theme="3" tint="0.249977111117893"/>
        <rFont val="Arial"/>
        <family val="2"/>
      </rPr>
      <t>import</t>
    </r>
    <r>
      <rPr>
        <sz val="10"/>
        <color theme="1"/>
        <rFont val="Arial"/>
        <family val="2"/>
      </rPr>
      <t xml:space="preserve"> pandas </t>
    </r>
    <r>
      <rPr>
        <sz val="10"/>
        <color theme="3" tint="0.249977111117893"/>
        <rFont val="Arial"/>
        <family val="2"/>
      </rPr>
      <t>as</t>
    </r>
    <r>
      <rPr>
        <sz val="10"/>
        <color theme="1"/>
        <rFont val="Arial"/>
        <family val="2"/>
      </rPr>
      <t xml:space="preserve"> pd</t>
    </r>
  </si>
  <si>
    <r>
      <rPr>
        <sz val="10"/>
        <color theme="3" tint="0.249977111117893"/>
        <rFont val="Arial"/>
        <family val="2"/>
      </rPr>
      <t>from</t>
    </r>
    <r>
      <rPr>
        <sz val="10"/>
        <color theme="1"/>
        <rFont val="Arial"/>
        <family val="2"/>
      </rPr>
      <t xml:space="preserve"> sklearn.linear_model </t>
    </r>
    <r>
      <rPr>
        <sz val="10"/>
        <color theme="3" tint="0.249977111117893"/>
        <rFont val="Arial"/>
        <family val="2"/>
      </rPr>
      <t>import</t>
    </r>
    <r>
      <rPr>
        <sz val="10"/>
        <color theme="1"/>
        <rFont val="Arial"/>
        <family val="2"/>
      </rPr>
      <t xml:space="preserve"> LinearRegression</t>
    </r>
  </si>
  <si>
    <r>
      <rPr>
        <sz val="10"/>
        <color theme="3" tint="0.249977111117893"/>
        <rFont val="Arial"/>
        <family val="2"/>
      </rPr>
      <t>def</t>
    </r>
    <r>
      <rPr>
        <sz val="10"/>
        <color theme="1"/>
        <rFont val="Arial"/>
        <family val="2"/>
      </rPr>
      <t xml:space="preserve"> regression(X, y):</t>
    </r>
  </si>
  <si>
    <r>
      <t xml:space="preserve">  </t>
    </r>
    <r>
      <rPr>
        <sz val="10"/>
        <color theme="3" tint="0.249977111117893"/>
        <rFont val="Arial"/>
        <family val="2"/>
      </rPr>
      <t>return</t>
    </r>
    <r>
      <rPr>
        <sz val="10"/>
        <color theme="1"/>
        <rFont val="Arial"/>
        <family val="2"/>
      </rPr>
      <t xml:space="preserve"> pd.DataFrame([model.intercept_, model.coef_[0]], index=[</t>
    </r>
    <r>
      <rPr>
        <sz val="10"/>
        <color theme="9" tint="-0.249977111117893"/>
        <rFont val="Arial"/>
        <family val="2"/>
      </rPr>
      <t>'intercept'</t>
    </r>
    <r>
      <rPr>
        <sz val="10"/>
        <color theme="1"/>
        <rFont val="Arial"/>
        <family val="2"/>
      </rPr>
      <t>,</t>
    </r>
    <r>
      <rPr>
        <sz val="10"/>
        <color theme="9" tint="-0.249977111117893"/>
        <rFont val="Arial"/>
        <family val="2"/>
      </rPr>
      <t xml:space="preserve"> 'slope'</t>
    </r>
    <r>
      <rPr>
        <sz val="10"/>
        <color theme="1"/>
        <rFont val="Arial"/>
        <family val="2"/>
      </rPr>
      <t>], columns=[</t>
    </r>
    <r>
      <rPr>
        <sz val="10"/>
        <color theme="9" tint="-0.249977111117893"/>
        <rFont val="Arial"/>
        <family val="2"/>
      </rPr>
      <t>'value'</t>
    </r>
    <r>
      <rPr>
        <sz val="10"/>
        <color theme="1"/>
        <rFont val="Arial"/>
        <family val="2"/>
      </rPr>
      <t>])</t>
    </r>
  </si>
  <si>
    <t xml:space="preserve">      OPTION PRICER | JULIJ JEGOROV</t>
  </si>
  <si>
    <t>STRIKE FINDER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</si>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</sst>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70C0"/>
      <name val="Arial"/>
      <family val="2"/>
    </font>
    <font>
      <sz val="10"/>
      <color theme="6" tint="-0.249977111117893"/>
      <name val="Arial"/>
      <family val="2"/>
    </font>
    <font>
      <sz val="10"/>
      <color theme="9" tint="-0.499984740745262"/>
      <name val="Arial"/>
      <family val="2"/>
    </font>
    <font>
      <sz val="10"/>
      <color theme="0" tint="-0.249977111117893"/>
      <name val="Arial"/>
      <family val="2"/>
    </font>
    <font>
      <sz val="10"/>
      <color theme="0" tint="-0.499984740745262"/>
      <name val="Arial"/>
      <family val="2"/>
    </font>
    <font>
      <sz val="11"/>
      <color theme="1"/>
      <name val="Arial"/>
      <family val="2"/>
    </font>
    <font>
      <sz val="10"/>
      <color theme="3" tint="0.249977111117893"/>
      <name val="Arial"/>
      <family val="2"/>
    </font>
    <font>
      <sz val="10"/>
      <color theme="9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249977111117893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249977111117893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0" tint="-4.9989318521683403E-2"/>
      </top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0.249977111117893"/>
      </right>
      <top style="thin">
        <color theme="0" tint="-4.9989318521683403E-2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3" tint="0.249977111117893"/>
      </right>
      <top/>
      <bottom style="thin">
        <color theme="3" tint="0.249977111117893"/>
      </bottom>
      <diagonal/>
    </border>
    <border>
      <left style="thin">
        <color theme="0" tint="-4.9989318521683403E-2"/>
      </left>
      <right style="thin">
        <color theme="9"/>
      </right>
      <top style="thin">
        <color theme="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9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9"/>
      </right>
      <top style="thin">
        <color theme="0" tint="-4.9989318521683403E-2"/>
      </top>
      <bottom/>
      <diagonal/>
    </border>
    <border>
      <left style="thin">
        <color theme="9"/>
      </left>
      <right style="thin">
        <color theme="0" tint="-4.9989318521683403E-2"/>
      </right>
      <top style="thin">
        <color theme="9"/>
      </top>
      <bottom style="thin">
        <color theme="9"/>
      </bottom>
      <diagonal/>
    </border>
    <border>
      <left style="thin">
        <color theme="0" tint="-4.9989318521683403E-2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3" tint="0.249977111117893"/>
      </left>
      <right style="thin">
        <color theme="0" tint="-4.9989318521683403E-2"/>
      </right>
      <top/>
      <bottom style="thin">
        <color theme="3" tint="0.249977111117893"/>
      </bottom>
      <diagonal/>
    </border>
    <border>
      <left/>
      <right style="thin">
        <color theme="3" tint="0.249977111117893"/>
      </right>
      <top style="thin">
        <color theme="3" tint="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4.9989318521683403E-2"/>
      </right>
      <top/>
      <bottom/>
      <diagonal/>
    </border>
    <border>
      <left style="thin">
        <color theme="0" tint="-0.14999847407452621"/>
      </left>
      <right style="thin">
        <color theme="0" tint="-4.9989318521683403E-2"/>
      </right>
      <top/>
      <bottom style="thin">
        <color theme="0" tint="-0.14999847407452621"/>
      </bottom>
      <diagonal/>
    </border>
    <border>
      <left style="thin">
        <color theme="3" tint="0.249977111117893"/>
      </left>
      <right style="thin">
        <color theme="0" tint="-4.9989318521683403E-2"/>
      </right>
      <top style="thin">
        <color theme="3" tint="0.249977111117893"/>
      </top>
      <bottom/>
      <diagonal/>
    </border>
    <border>
      <left style="thin">
        <color theme="0" tint="-0.249977111117893"/>
      </left>
      <right style="thin">
        <color theme="0" tint="-4.9989318521683403E-2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4.9989318521683403E-2"/>
      </right>
      <top/>
      <bottom/>
      <diagonal/>
    </border>
    <border>
      <left style="thin">
        <color theme="0" tint="-0.249977111117893"/>
      </left>
      <right style="thin">
        <color theme="0" tint="-4.9989318521683403E-2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4.9989318521683403E-2"/>
      </right>
      <top/>
      <bottom style="thin">
        <color theme="9"/>
      </bottom>
      <diagonal/>
    </border>
    <border>
      <left style="thin">
        <color theme="9"/>
      </left>
      <right style="thin">
        <color theme="0" tint="-4.9989318521683403E-2"/>
      </right>
      <top style="thin">
        <color theme="9"/>
      </top>
      <bottom/>
      <diagonal/>
    </border>
    <border>
      <left style="thin">
        <color theme="9"/>
      </left>
      <right style="thin">
        <color theme="0" tint="-4.9989318521683403E-2"/>
      </right>
      <top/>
      <bottom/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2" fillId="0" borderId="0" xfId="0" applyFont="1"/>
    <xf numFmtId="0" fontId="3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right"/>
    </xf>
    <xf numFmtId="0" fontId="1" fillId="4" borderId="2" xfId="0" applyFont="1" applyFill="1" applyBorder="1"/>
    <xf numFmtId="15" fontId="1" fillId="0" borderId="3" xfId="0" applyNumberFormat="1" applyFont="1" applyBorder="1"/>
    <xf numFmtId="0" fontId="1" fillId="4" borderId="4" xfId="0" applyFont="1" applyFill="1" applyBorder="1"/>
    <xf numFmtId="15" fontId="1" fillId="0" borderId="5" xfId="0" applyNumberFormat="1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4" borderId="6" xfId="0" applyFont="1" applyFill="1" applyBorder="1"/>
    <xf numFmtId="0" fontId="1" fillId="0" borderId="7" xfId="0" applyFont="1" applyBorder="1"/>
    <xf numFmtId="0" fontId="1" fillId="2" borderId="8" xfId="0" applyFont="1" applyFill="1" applyBorder="1"/>
    <xf numFmtId="0" fontId="3" fillId="0" borderId="9" xfId="0" applyFont="1" applyBorder="1"/>
    <xf numFmtId="15" fontId="1" fillId="0" borderId="3" xfId="0" applyNumberFormat="1" applyFont="1" applyBorder="1" applyAlignment="1">
      <alignment horizontal="right"/>
    </xf>
    <xf numFmtId="15" fontId="1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5" fontId="1" fillId="3" borderId="3" xfId="0" applyNumberFormat="1" applyFont="1" applyFill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" fillId="0" borderId="12" xfId="0" applyFont="1" applyBorder="1"/>
    <xf numFmtId="10" fontId="1" fillId="0" borderId="0" xfId="0" applyNumberFormat="1" applyFont="1"/>
    <xf numFmtId="164" fontId="1" fillId="0" borderId="3" xfId="0" applyNumberFormat="1" applyFont="1" applyBorder="1"/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/>
    <xf numFmtId="164" fontId="1" fillId="0" borderId="14" xfId="0" applyNumberFormat="1" applyFont="1" applyBorder="1"/>
    <xf numFmtId="164" fontId="1" fillId="0" borderId="15" xfId="0" applyNumberFormat="1" applyFont="1" applyBorder="1"/>
    <xf numFmtId="0" fontId="1" fillId="4" borderId="13" xfId="0" applyFont="1" applyFill="1" applyBorder="1"/>
    <xf numFmtId="0" fontId="1" fillId="4" borderId="18" xfId="0" applyFont="1" applyFill="1" applyBorder="1"/>
    <xf numFmtId="10" fontId="1" fillId="0" borderId="15" xfId="0" applyNumberFormat="1" applyFont="1" applyBorder="1" applyAlignment="1">
      <alignment horizontal="right"/>
    </xf>
    <xf numFmtId="0" fontId="1" fillId="4" borderId="16" xfId="0" applyFont="1" applyFill="1" applyBorder="1"/>
    <xf numFmtId="10" fontId="1" fillId="0" borderId="17" xfId="0" applyNumberFormat="1" applyFont="1" applyBorder="1" applyAlignment="1">
      <alignment horizontal="right"/>
    </xf>
    <xf numFmtId="165" fontId="1" fillId="0" borderId="21" xfId="0" applyNumberFormat="1" applyFont="1" applyBorder="1"/>
    <xf numFmtId="10" fontId="1" fillId="0" borderId="24" xfId="0" applyNumberFormat="1" applyFont="1" applyBorder="1" applyAlignment="1">
      <alignment horizontal="right"/>
    </xf>
    <xf numFmtId="165" fontId="1" fillId="0" borderId="25" xfId="0" applyNumberFormat="1" applyFont="1" applyBorder="1"/>
    <xf numFmtId="0" fontId="1" fillId="5" borderId="26" xfId="0" applyFont="1" applyFill="1" applyBorder="1"/>
    <xf numFmtId="0" fontId="1" fillId="5" borderId="28" xfId="0" applyFont="1" applyFill="1" applyBorder="1"/>
    <xf numFmtId="0" fontId="1" fillId="0" borderId="29" xfId="0" applyFont="1" applyBorder="1"/>
    <xf numFmtId="0" fontId="1" fillId="0" borderId="30" xfId="0" applyFont="1" applyBorder="1"/>
    <xf numFmtId="15" fontId="1" fillId="4" borderId="0" xfId="0" applyNumberFormat="1" applyFont="1" applyFill="1"/>
    <xf numFmtId="9" fontId="1" fillId="0" borderId="1" xfId="0" applyNumberFormat="1" applyFont="1" applyBorder="1"/>
    <xf numFmtId="0" fontId="5" fillId="0" borderId="30" xfId="0" applyFont="1" applyBorder="1"/>
    <xf numFmtId="165" fontId="1" fillId="0" borderId="22" xfId="0" applyNumberFormat="1" applyFont="1" applyBorder="1"/>
    <xf numFmtId="0" fontId="1" fillId="2" borderId="31" xfId="0" applyFont="1" applyFill="1" applyBorder="1"/>
    <xf numFmtId="165" fontId="1" fillId="0" borderId="32" xfId="0" applyNumberFormat="1" applyFont="1" applyBorder="1"/>
    <xf numFmtId="15" fontId="1" fillId="0" borderId="2" xfId="0" applyNumberFormat="1" applyFont="1" applyBorder="1"/>
    <xf numFmtId="10" fontId="1" fillId="0" borderId="3" xfId="0" applyNumberFormat="1" applyFont="1" applyBorder="1"/>
    <xf numFmtId="15" fontId="1" fillId="0" borderId="4" xfId="0" applyNumberFormat="1" applyFont="1" applyBorder="1"/>
    <xf numFmtId="10" fontId="1" fillId="0" borderId="5" xfId="0" applyNumberFormat="1" applyFont="1" applyBorder="1"/>
    <xf numFmtId="15" fontId="1" fillId="0" borderId="6" xfId="0" applyNumberFormat="1" applyFont="1" applyBorder="1"/>
    <xf numFmtId="10" fontId="1" fillId="0" borderId="7" xfId="0" applyNumberFormat="1" applyFont="1" applyBorder="1"/>
    <xf numFmtId="9" fontId="1" fillId="0" borderId="2" xfId="0" applyNumberFormat="1" applyFont="1" applyBorder="1"/>
    <xf numFmtId="9" fontId="1" fillId="0" borderId="10" xfId="0" applyNumberFormat="1" applyFont="1" applyBorder="1"/>
    <xf numFmtId="9" fontId="1" fillId="0" borderId="3" xfId="0" applyNumberFormat="1" applyFont="1" applyBorder="1"/>
    <xf numFmtId="9" fontId="1" fillId="0" borderId="4" xfId="0" applyNumberFormat="1" applyFont="1" applyBorder="1"/>
    <xf numFmtId="9" fontId="1" fillId="0" borderId="5" xfId="0" applyNumberFormat="1" applyFont="1" applyBorder="1"/>
    <xf numFmtId="9" fontId="1" fillId="0" borderId="6" xfId="0" applyNumberFormat="1" applyFont="1" applyBorder="1"/>
    <xf numFmtId="9" fontId="1" fillId="0" borderId="11" xfId="0" applyNumberFormat="1" applyFont="1" applyBorder="1"/>
    <xf numFmtId="9" fontId="1" fillId="0" borderId="7" xfId="0" applyNumberFormat="1" applyFont="1" applyBorder="1"/>
    <xf numFmtId="0" fontId="3" fillId="0" borderId="3" xfId="0" applyFont="1" applyBorder="1" applyAlignment="1">
      <alignment horizontal="right"/>
    </xf>
    <xf numFmtId="15" fontId="1" fillId="0" borderId="7" xfId="0" applyNumberFormat="1" applyFont="1" applyBorder="1"/>
    <xf numFmtId="0" fontId="1" fillId="2" borderId="33" xfId="0" applyFont="1" applyFill="1" applyBorder="1"/>
    <xf numFmtId="0" fontId="1" fillId="2" borderId="34" xfId="0" applyFont="1" applyFill="1" applyBorder="1"/>
    <xf numFmtId="0" fontId="1" fillId="2" borderId="35" xfId="0" applyFont="1" applyFill="1" applyBorder="1"/>
    <xf numFmtId="0" fontId="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6" borderId="41" xfId="0" applyFont="1" applyFill="1" applyBorder="1"/>
    <xf numFmtId="0" fontId="1" fillId="6" borderId="42" xfId="0" applyFont="1" applyFill="1" applyBorder="1"/>
    <xf numFmtId="164" fontId="1" fillId="0" borderId="1" xfId="0" applyNumberFormat="1" applyFont="1" applyBorder="1"/>
    <xf numFmtId="164" fontId="1" fillId="0" borderId="17" xfId="0" applyNumberFormat="1" applyFont="1" applyBorder="1"/>
    <xf numFmtId="164" fontId="1" fillId="0" borderId="19" xfId="0" applyNumberFormat="1" applyFont="1" applyBorder="1"/>
    <xf numFmtId="164" fontId="1" fillId="0" borderId="20" xfId="0" applyNumberFormat="1" applyFont="1" applyBorder="1"/>
    <xf numFmtId="164" fontId="1" fillId="0" borderId="5" xfId="0" applyNumberFormat="1" applyFont="1" applyBorder="1"/>
    <xf numFmtId="164" fontId="1" fillId="0" borderId="7" xfId="0" applyNumberFormat="1" applyFont="1" applyBorder="1"/>
    <xf numFmtId="164" fontId="1" fillId="0" borderId="23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0" fontId="7" fillId="0" borderId="30" xfId="0" applyFont="1" applyBorder="1" applyAlignment="1">
      <alignment vertical="center"/>
    </xf>
    <xf numFmtId="2" fontId="1" fillId="0" borderId="27" xfId="0" applyNumberFormat="1" applyFont="1" applyBorder="1"/>
    <xf numFmtId="164" fontId="1" fillId="0" borderId="5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1" fillId="2" borderId="43" xfId="0" applyFont="1" applyFill="1" applyBorder="1"/>
    <xf numFmtId="164" fontId="1" fillId="0" borderId="44" xfId="0" applyNumberFormat="1" applyFont="1" applyBorder="1"/>
    <xf numFmtId="0" fontId="1" fillId="6" borderId="2" xfId="0" applyFont="1" applyFill="1" applyBorder="1"/>
    <xf numFmtId="0" fontId="1" fillId="6" borderId="4" xfId="0" applyFont="1" applyFill="1" applyBorder="1"/>
    <xf numFmtId="0" fontId="1" fillId="6" borderId="6" xfId="0" applyFont="1" applyFill="1" applyBorder="1"/>
    <xf numFmtId="3" fontId="1" fillId="0" borderId="7" xfId="0" applyNumberFormat="1" applyFont="1" applyBorder="1"/>
    <xf numFmtId="0" fontId="1" fillId="4" borderId="45" xfId="0" applyFont="1" applyFill="1" applyBorder="1"/>
    <xf numFmtId="0" fontId="3" fillId="0" borderId="46" xfId="0" applyFont="1" applyBorder="1" applyAlignment="1">
      <alignment horizontal="left"/>
    </xf>
    <xf numFmtId="0" fontId="1" fillId="4" borderId="47" xfId="0" applyFont="1" applyFill="1" applyBorder="1"/>
    <xf numFmtId="0" fontId="3" fillId="0" borderId="48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1" fillId="0" borderId="3" xfId="0" applyFon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7" fillId="0" borderId="30" xfId="0" applyFont="1" applyBorder="1" applyAlignment="1">
      <alignment horizontal="left" vertical="center"/>
    </xf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166" fontId="1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4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Volatiltiy</a:t>
            </a:r>
            <a:r>
              <a:rPr lang="en-GB" sz="14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Surface</a:t>
            </a:r>
            <a:endParaRPr lang="en-GB" sz="1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36109351499601877"/>
          <c:y val="2.3529419030235921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2335895364481576E-2"/>
          <c:y val="0.13791887125220459"/>
          <c:w val="0.81182905953263695"/>
          <c:h val="0.65619575330861424"/>
        </c:manualLayout>
      </c:layout>
      <c:surface3DChart>
        <c:wireframe val="0"/>
        <c:ser>
          <c:idx val="0"/>
          <c:order val="0"/>
          <c:tx>
            <c:strRef>
              <c:f>main!$M$38</c:f>
              <c:strCache>
                <c:ptCount val="1"/>
                <c:pt idx="0">
                  <c:v>13-May-25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main!$M$39:$M$62</c:f>
              <c:numCache>
                <c:formatCode>0%</c:formatCode>
                <c:ptCount val="24"/>
                <c:pt idx="0">
                  <c:v>0.25230000000000002</c:v>
                </c:pt>
                <c:pt idx="1">
                  <c:v>0.24390000000000001</c:v>
                </c:pt>
                <c:pt idx="2">
                  <c:v>0.23780000000000001</c:v>
                </c:pt>
                <c:pt idx="3">
                  <c:v>0.2296</c:v>
                </c:pt>
                <c:pt idx="4">
                  <c:v>0.22320000000000001</c:v>
                </c:pt>
                <c:pt idx="5">
                  <c:v>0.21510000000000001</c:v>
                </c:pt>
                <c:pt idx="6">
                  <c:v>0.20850000000000002</c:v>
                </c:pt>
                <c:pt idx="7">
                  <c:v>0.2024</c:v>
                </c:pt>
                <c:pt idx="8">
                  <c:v>0.1953</c:v>
                </c:pt>
                <c:pt idx="9">
                  <c:v>0.1898</c:v>
                </c:pt>
                <c:pt idx="10">
                  <c:v>0.18539999999999998</c:v>
                </c:pt>
                <c:pt idx="11">
                  <c:v>0.18010000000000001</c:v>
                </c:pt>
                <c:pt idx="12">
                  <c:v>0.1769</c:v>
                </c:pt>
                <c:pt idx="13">
                  <c:v>0.17469999999999999</c:v>
                </c:pt>
                <c:pt idx="14">
                  <c:v>0.1734</c:v>
                </c:pt>
                <c:pt idx="15">
                  <c:v>0.17329999999999998</c:v>
                </c:pt>
                <c:pt idx="16">
                  <c:v>0.17499999999999999</c:v>
                </c:pt>
                <c:pt idx="17">
                  <c:v>0.17730000000000001</c:v>
                </c:pt>
                <c:pt idx="18">
                  <c:v>0.18100000000000002</c:v>
                </c:pt>
                <c:pt idx="19">
                  <c:v>0.18690000000000001</c:v>
                </c:pt>
                <c:pt idx="20">
                  <c:v>0.1918</c:v>
                </c:pt>
                <c:pt idx="21">
                  <c:v>0.1986</c:v>
                </c:pt>
                <c:pt idx="22">
                  <c:v>0.20480000000000001</c:v>
                </c:pt>
                <c:pt idx="23">
                  <c:v>0.21340000000000001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9-4C29-A2BF-73D47CA3ACAF}"/>
            </c:ext>
          </c:extLst>
        </c:ser>
        <c:ser>
          <c:idx val="1"/>
          <c:order val="1"/>
          <c:tx>
            <c:strRef>
              <c:f>main!$N$38</c:f>
              <c:strCache>
                <c:ptCount val="1"/>
                <c:pt idx="0">
                  <c:v>30-Jun-25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main!$N$39:$N$62</c:f>
              <c:numCache>
                <c:formatCode>0%</c:formatCode>
                <c:ptCount val="24"/>
                <c:pt idx="0">
                  <c:v>0.25559999999999999</c:v>
                </c:pt>
                <c:pt idx="1">
                  <c:v>0.24829999999999999</c:v>
                </c:pt>
                <c:pt idx="2">
                  <c:v>0.24179999999999999</c:v>
                </c:pt>
                <c:pt idx="3">
                  <c:v>0.23180000000000001</c:v>
                </c:pt>
                <c:pt idx="4">
                  <c:v>0.22409999999999999</c:v>
                </c:pt>
                <c:pt idx="5">
                  <c:v>0.2155</c:v>
                </c:pt>
                <c:pt idx="6">
                  <c:v>0.2089</c:v>
                </c:pt>
                <c:pt idx="7">
                  <c:v>0.2021</c:v>
                </c:pt>
                <c:pt idx="8">
                  <c:v>0.19440000000000002</c:v>
                </c:pt>
                <c:pt idx="9">
                  <c:v>0.18890000000000001</c:v>
                </c:pt>
                <c:pt idx="10">
                  <c:v>0.18289999999999998</c:v>
                </c:pt>
                <c:pt idx="11">
                  <c:v>0.17809999999999998</c:v>
                </c:pt>
                <c:pt idx="12">
                  <c:v>0.17420000000000002</c:v>
                </c:pt>
                <c:pt idx="13">
                  <c:v>0.1716</c:v>
                </c:pt>
                <c:pt idx="14">
                  <c:v>0.16969999999999999</c:v>
                </c:pt>
                <c:pt idx="15">
                  <c:v>0.16930000000000001</c:v>
                </c:pt>
                <c:pt idx="16">
                  <c:v>0.1704</c:v>
                </c:pt>
                <c:pt idx="17">
                  <c:v>0.17319999999999999</c:v>
                </c:pt>
                <c:pt idx="18">
                  <c:v>0.17749999999999999</c:v>
                </c:pt>
                <c:pt idx="19">
                  <c:v>0.18210000000000001</c:v>
                </c:pt>
                <c:pt idx="20">
                  <c:v>0.18780000000000002</c:v>
                </c:pt>
                <c:pt idx="21">
                  <c:v>0.1948</c:v>
                </c:pt>
                <c:pt idx="22">
                  <c:v>0.2016</c:v>
                </c:pt>
                <c:pt idx="23">
                  <c:v>0.21010000000000001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49-4C29-A2BF-73D47CA3ACAF}"/>
            </c:ext>
          </c:extLst>
        </c:ser>
        <c:ser>
          <c:idx val="2"/>
          <c:order val="2"/>
          <c:tx>
            <c:strRef>
              <c:f>main!$O$38</c:f>
              <c:strCache>
                <c:ptCount val="1"/>
                <c:pt idx="0">
                  <c:v>31-Jul-25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main!$O$39:$O$62</c:f>
              <c:numCache>
                <c:formatCode>0%</c:formatCode>
                <c:ptCount val="24"/>
                <c:pt idx="0">
                  <c:v>0.26519999999999999</c:v>
                </c:pt>
                <c:pt idx="1">
                  <c:v>0.25609999999999999</c:v>
                </c:pt>
                <c:pt idx="2">
                  <c:v>0.2455</c:v>
                </c:pt>
                <c:pt idx="3">
                  <c:v>0.2402</c:v>
                </c:pt>
                <c:pt idx="4">
                  <c:v>0.23010000000000003</c:v>
                </c:pt>
                <c:pt idx="5">
                  <c:v>0.22210000000000002</c:v>
                </c:pt>
                <c:pt idx="6">
                  <c:v>0.2147</c:v>
                </c:pt>
                <c:pt idx="7">
                  <c:v>0.20530000000000001</c:v>
                </c:pt>
                <c:pt idx="8">
                  <c:v>0.19850000000000001</c:v>
                </c:pt>
                <c:pt idx="9">
                  <c:v>0.19089999999999999</c:v>
                </c:pt>
                <c:pt idx="10">
                  <c:v>0.1852</c:v>
                </c:pt>
                <c:pt idx="11">
                  <c:v>0.18010000000000001</c:v>
                </c:pt>
                <c:pt idx="12">
                  <c:v>0.17469999999999999</c:v>
                </c:pt>
                <c:pt idx="13">
                  <c:v>0.17199999999999999</c:v>
                </c:pt>
                <c:pt idx="14">
                  <c:v>0.16940000000000002</c:v>
                </c:pt>
                <c:pt idx="15">
                  <c:v>0.16850000000000001</c:v>
                </c:pt>
                <c:pt idx="16">
                  <c:v>0.1686</c:v>
                </c:pt>
                <c:pt idx="17">
                  <c:v>0.17069999999999999</c:v>
                </c:pt>
                <c:pt idx="18">
                  <c:v>0.17309999999999998</c:v>
                </c:pt>
                <c:pt idx="19">
                  <c:v>0.17710000000000001</c:v>
                </c:pt>
                <c:pt idx="20">
                  <c:v>0.1825</c:v>
                </c:pt>
                <c:pt idx="21">
                  <c:v>0.18940000000000001</c:v>
                </c:pt>
                <c:pt idx="22">
                  <c:v>0.19570000000000001</c:v>
                </c:pt>
                <c:pt idx="23">
                  <c:v>0.20350000000000001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49-4C29-A2BF-73D47CA3ACAF}"/>
            </c:ext>
          </c:extLst>
        </c:ser>
        <c:ser>
          <c:idx val="3"/>
          <c:order val="3"/>
          <c:tx>
            <c:strRef>
              <c:f>main!$P$38</c:f>
              <c:strCache>
                <c:ptCount val="1"/>
                <c:pt idx="0">
                  <c:v>31-Aug-25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main!$P$39:$P$62</c:f>
              <c:numCache>
                <c:formatCode>0%</c:formatCode>
                <c:ptCount val="24"/>
                <c:pt idx="0">
                  <c:v>0.27239999999999998</c:v>
                </c:pt>
                <c:pt idx="1">
                  <c:v>0.26250000000000001</c:v>
                </c:pt>
                <c:pt idx="2">
                  <c:v>0.25379999999999997</c:v>
                </c:pt>
                <c:pt idx="3">
                  <c:v>0.24690000000000001</c:v>
                </c:pt>
                <c:pt idx="4">
                  <c:v>0.23899999999999999</c:v>
                </c:pt>
                <c:pt idx="5">
                  <c:v>0.23010000000000003</c:v>
                </c:pt>
                <c:pt idx="6">
                  <c:v>0.22070000000000001</c:v>
                </c:pt>
                <c:pt idx="7">
                  <c:v>0.21280000000000002</c:v>
                </c:pt>
                <c:pt idx="8">
                  <c:v>0.20559999999999998</c:v>
                </c:pt>
                <c:pt idx="9">
                  <c:v>0.19829999999999998</c:v>
                </c:pt>
                <c:pt idx="10">
                  <c:v>0.191</c:v>
                </c:pt>
                <c:pt idx="11">
                  <c:v>0.18510000000000001</c:v>
                </c:pt>
                <c:pt idx="12">
                  <c:v>0.1802</c:v>
                </c:pt>
                <c:pt idx="13">
                  <c:v>0.17579999999999998</c:v>
                </c:pt>
                <c:pt idx="14">
                  <c:v>0.17319999999999999</c:v>
                </c:pt>
                <c:pt idx="15">
                  <c:v>0.17059999999999997</c:v>
                </c:pt>
                <c:pt idx="16">
                  <c:v>0.17010000000000003</c:v>
                </c:pt>
                <c:pt idx="17">
                  <c:v>0.17149999999999999</c:v>
                </c:pt>
                <c:pt idx="18">
                  <c:v>0.17460000000000001</c:v>
                </c:pt>
                <c:pt idx="19">
                  <c:v>0.17800000000000002</c:v>
                </c:pt>
                <c:pt idx="20">
                  <c:v>0.18309999999999998</c:v>
                </c:pt>
                <c:pt idx="21">
                  <c:v>0.1885</c:v>
                </c:pt>
                <c:pt idx="22">
                  <c:v>0.19570000000000001</c:v>
                </c:pt>
                <c:pt idx="23">
                  <c:v>0.2029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49-4C29-A2BF-73D47CA3ACAF}"/>
            </c:ext>
          </c:extLst>
        </c:ser>
        <c:ser>
          <c:idx val="4"/>
          <c:order val="4"/>
          <c:tx>
            <c:strRef>
              <c:f>main!$Q$38</c:f>
              <c:strCache>
                <c:ptCount val="1"/>
                <c:pt idx="0">
                  <c:v>30-Sep-25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main!$Q$39:$Q$62</c:f>
              <c:numCache>
                <c:formatCode>0%</c:formatCode>
                <c:ptCount val="24"/>
                <c:pt idx="0">
                  <c:v>0.27429999999999999</c:v>
                </c:pt>
                <c:pt idx="1">
                  <c:v>0.26780000000000004</c:v>
                </c:pt>
                <c:pt idx="2">
                  <c:v>0.25940000000000002</c:v>
                </c:pt>
                <c:pt idx="3">
                  <c:v>0.25009999999999999</c:v>
                </c:pt>
                <c:pt idx="4">
                  <c:v>0.24239999999999998</c:v>
                </c:pt>
                <c:pt idx="5">
                  <c:v>0.23370000000000002</c:v>
                </c:pt>
                <c:pt idx="6">
                  <c:v>0.22539999999999999</c:v>
                </c:pt>
                <c:pt idx="7">
                  <c:v>0.21690000000000001</c:v>
                </c:pt>
                <c:pt idx="8">
                  <c:v>0.20949999999999999</c:v>
                </c:pt>
                <c:pt idx="9">
                  <c:v>0.20199999999999999</c:v>
                </c:pt>
                <c:pt idx="10">
                  <c:v>0.1943</c:v>
                </c:pt>
                <c:pt idx="11">
                  <c:v>0.18859999999999999</c:v>
                </c:pt>
                <c:pt idx="12">
                  <c:v>0.1825</c:v>
                </c:pt>
                <c:pt idx="13">
                  <c:v>0.1787</c:v>
                </c:pt>
                <c:pt idx="14">
                  <c:v>0.1754</c:v>
                </c:pt>
                <c:pt idx="15">
                  <c:v>0.17319999999999999</c:v>
                </c:pt>
                <c:pt idx="16">
                  <c:v>0.1721</c:v>
                </c:pt>
                <c:pt idx="17">
                  <c:v>0.17370000000000002</c:v>
                </c:pt>
                <c:pt idx="18">
                  <c:v>0.17559999999999998</c:v>
                </c:pt>
                <c:pt idx="19">
                  <c:v>0.1794</c:v>
                </c:pt>
                <c:pt idx="20">
                  <c:v>0.18460000000000001</c:v>
                </c:pt>
                <c:pt idx="21">
                  <c:v>0.19089999999999999</c:v>
                </c:pt>
                <c:pt idx="22">
                  <c:v>0.1973</c:v>
                </c:pt>
                <c:pt idx="23">
                  <c:v>0.2051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49-4C29-A2BF-73D47CA3ACAF}"/>
            </c:ext>
          </c:extLst>
        </c:ser>
        <c:ser>
          <c:idx val="5"/>
          <c:order val="5"/>
          <c:tx>
            <c:strRef>
              <c:f>main!$R$38</c:f>
              <c:strCache>
                <c:ptCount val="1"/>
                <c:pt idx="0">
                  <c:v>31-Oct-25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main!$R$39:$R$62</c:f>
              <c:numCache>
                <c:formatCode>0%</c:formatCode>
                <c:ptCount val="24"/>
                <c:pt idx="0">
                  <c:v>0.28199999999999997</c:v>
                </c:pt>
                <c:pt idx="1">
                  <c:v>0.27110000000000001</c:v>
                </c:pt>
                <c:pt idx="2">
                  <c:v>0.26340000000000002</c:v>
                </c:pt>
                <c:pt idx="3">
                  <c:v>0.25800000000000001</c:v>
                </c:pt>
                <c:pt idx="4">
                  <c:v>0.249</c:v>
                </c:pt>
                <c:pt idx="5">
                  <c:v>0.24129999999999999</c:v>
                </c:pt>
                <c:pt idx="6">
                  <c:v>0.2324</c:v>
                </c:pt>
                <c:pt idx="7">
                  <c:v>0.22440000000000002</c:v>
                </c:pt>
                <c:pt idx="8">
                  <c:v>0.21539999999999998</c:v>
                </c:pt>
                <c:pt idx="9">
                  <c:v>0.20780000000000001</c:v>
                </c:pt>
                <c:pt idx="10">
                  <c:v>0.20120000000000002</c:v>
                </c:pt>
                <c:pt idx="11">
                  <c:v>0.19390000000000002</c:v>
                </c:pt>
                <c:pt idx="12">
                  <c:v>0.18859999999999999</c:v>
                </c:pt>
                <c:pt idx="13">
                  <c:v>0.18350000000000002</c:v>
                </c:pt>
                <c:pt idx="14">
                  <c:v>0.18010000000000001</c:v>
                </c:pt>
                <c:pt idx="15">
                  <c:v>0.17699999999999999</c:v>
                </c:pt>
                <c:pt idx="16">
                  <c:v>0.17670000000000002</c:v>
                </c:pt>
                <c:pt idx="17">
                  <c:v>0.17710000000000001</c:v>
                </c:pt>
                <c:pt idx="18">
                  <c:v>0.17980000000000002</c:v>
                </c:pt>
                <c:pt idx="19">
                  <c:v>0.18309999999999998</c:v>
                </c:pt>
                <c:pt idx="20">
                  <c:v>0.18789999999999998</c:v>
                </c:pt>
                <c:pt idx="21">
                  <c:v>0.19370000000000001</c:v>
                </c:pt>
                <c:pt idx="22">
                  <c:v>0.19989999999999999</c:v>
                </c:pt>
                <c:pt idx="23">
                  <c:v>0.20760000000000001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49-4C29-A2BF-73D47CA3ACAF}"/>
            </c:ext>
          </c:extLst>
        </c:ser>
        <c:ser>
          <c:idx val="6"/>
          <c:order val="6"/>
          <c:tx>
            <c:strRef>
              <c:f>main!$S$38</c:f>
              <c:strCache>
                <c:ptCount val="1"/>
                <c:pt idx="0">
                  <c:v>30-Nov-25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main!$S$39:$S$62</c:f>
              <c:numCache>
                <c:formatCode>0%</c:formatCode>
                <c:ptCount val="24"/>
                <c:pt idx="0">
                  <c:v>0.28589999999999999</c:v>
                </c:pt>
                <c:pt idx="1">
                  <c:v>0.27949999999999997</c:v>
                </c:pt>
                <c:pt idx="2">
                  <c:v>0.27050000000000002</c:v>
                </c:pt>
                <c:pt idx="3">
                  <c:v>0.26300000000000001</c:v>
                </c:pt>
                <c:pt idx="4">
                  <c:v>0.25259999999999999</c:v>
                </c:pt>
                <c:pt idx="5">
                  <c:v>0.24579999999999999</c:v>
                </c:pt>
                <c:pt idx="6">
                  <c:v>0.23600000000000002</c:v>
                </c:pt>
                <c:pt idx="7">
                  <c:v>0.22889999999999999</c:v>
                </c:pt>
                <c:pt idx="8">
                  <c:v>0.22</c:v>
                </c:pt>
                <c:pt idx="9">
                  <c:v>0.21249999999999999</c:v>
                </c:pt>
                <c:pt idx="10">
                  <c:v>0.20399999999999999</c:v>
                </c:pt>
                <c:pt idx="11">
                  <c:v>0.1973</c:v>
                </c:pt>
                <c:pt idx="12">
                  <c:v>0.19219999999999998</c:v>
                </c:pt>
                <c:pt idx="13">
                  <c:v>0.18659999999999999</c:v>
                </c:pt>
                <c:pt idx="14">
                  <c:v>0.18289999999999998</c:v>
                </c:pt>
                <c:pt idx="15">
                  <c:v>0.18100000000000002</c:v>
                </c:pt>
                <c:pt idx="16">
                  <c:v>0.17949999999999999</c:v>
                </c:pt>
                <c:pt idx="17">
                  <c:v>0.1807</c:v>
                </c:pt>
                <c:pt idx="18">
                  <c:v>0.18239999999999998</c:v>
                </c:pt>
                <c:pt idx="19">
                  <c:v>0.18609999999999999</c:v>
                </c:pt>
                <c:pt idx="20">
                  <c:v>0.19059999999999999</c:v>
                </c:pt>
                <c:pt idx="21">
                  <c:v>0.19699999999999998</c:v>
                </c:pt>
                <c:pt idx="22">
                  <c:v>0.20329999999999998</c:v>
                </c:pt>
                <c:pt idx="23">
                  <c:v>0.2112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49-4C29-A2BF-73D47CA3ACAF}"/>
            </c:ext>
          </c:extLst>
        </c:ser>
        <c:ser>
          <c:idx val="7"/>
          <c:order val="7"/>
          <c:tx>
            <c:strRef>
              <c:f>main!$T$38</c:f>
              <c:strCache>
                <c:ptCount val="1"/>
                <c:pt idx="0">
                  <c:v>31-Dec-25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main!$T$39:$T$62</c:f>
              <c:numCache>
                <c:formatCode>0%</c:formatCode>
                <c:ptCount val="24"/>
                <c:pt idx="0">
                  <c:v>0.29530000000000001</c:v>
                </c:pt>
                <c:pt idx="1">
                  <c:v>0.2838</c:v>
                </c:pt>
                <c:pt idx="2">
                  <c:v>0.27550000000000002</c:v>
                </c:pt>
                <c:pt idx="3">
                  <c:v>0.26569999999999999</c:v>
                </c:pt>
                <c:pt idx="4">
                  <c:v>0.25719999999999998</c:v>
                </c:pt>
                <c:pt idx="5">
                  <c:v>0.25059999999999999</c:v>
                </c:pt>
                <c:pt idx="6">
                  <c:v>0.24109999999999998</c:v>
                </c:pt>
                <c:pt idx="7">
                  <c:v>0.23399999999999999</c:v>
                </c:pt>
                <c:pt idx="8">
                  <c:v>0.22670000000000001</c:v>
                </c:pt>
                <c:pt idx="9">
                  <c:v>0.21809999999999999</c:v>
                </c:pt>
                <c:pt idx="10">
                  <c:v>0.21059999999999998</c:v>
                </c:pt>
                <c:pt idx="11">
                  <c:v>0.20420000000000002</c:v>
                </c:pt>
                <c:pt idx="12">
                  <c:v>0.19789999999999999</c:v>
                </c:pt>
                <c:pt idx="13">
                  <c:v>0.1928</c:v>
                </c:pt>
                <c:pt idx="14">
                  <c:v>0.19010000000000002</c:v>
                </c:pt>
                <c:pt idx="15">
                  <c:v>0.18679999999999999</c:v>
                </c:pt>
                <c:pt idx="16">
                  <c:v>0.18469999999999998</c:v>
                </c:pt>
                <c:pt idx="17">
                  <c:v>0.184</c:v>
                </c:pt>
                <c:pt idx="18">
                  <c:v>0.18719999999999998</c:v>
                </c:pt>
                <c:pt idx="19">
                  <c:v>0.19089999999999999</c:v>
                </c:pt>
                <c:pt idx="20">
                  <c:v>0.1946</c:v>
                </c:pt>
                <c:pt idx="21">
                  <c:v>0.20039999999999999</c:v>
                </c:pt>
                <c:pt idx="22">
                  <c:v>0.2069</c:v>
                </c:pt>
                <c:pt idx="23">
                  <c:v>0.21440000000000001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49-4C29-A2BF-73D47CA3ACAF}"/>
            </c:ext>
          </c:extLst>
        </c:ser>
        <c:ser>
          <c:idx val="8"/>
          <c:order val="8"/>
          <c:tx>
            <c:strRef>
              <c:f>main!$U$38</c:f>
              <c:strCache>
                <c:ptCount val="1"/>
                <c:pt idx="0">
                  <c:v>31-Jan-26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main!$U$39:$U$62</c:f>
              <c:numCache>
                <c:formatCode>0%</c:formatCode>
                <c:ptCount val="24"/>
                <c:pt idx="0">
                  <c:v>0.29799999999999999</c:v>
                </c:pt>
                <c:pt idx="1">
                  <c:v>0.28739999999999999</c:v>
                </c:pt>
                <c:pt idx="2">
                  <c:v>0.28260000000000002</c:v>
                </c:pt>
                <c:pt idx="3">
                  <c:v>0.27429999999999999</c:v>
                </c:pt>
                <c:pt idx="4">
                  <c:v>0.2641</c:v>
                </c:pt>
                <c:pt idx="5">
                  <c:v>0.2576</c:v>
                </c:pt>
                <c:pt idx="6">
                  <c:v>0.2482</c:v>
                </c:pt>
                <c:pt idx="7">
                  <c:v>0.24050000000000002</c:v>
                </c:pt>
                <c:pt idx="8">
                  <c:v>0.2316</c:v>
                </c:pt>
                <c:pt idx="9">
                  <c:v>0.223</c:v>
                </c:pt>
                <c:pt idx="10">
                  <c:v>0.21679999999999999</c:v>
                </c:pt>
                <c:pt idx="11">
                  <c:v>0.20910000000000001</c:v>
                </c:pt>
                <c:pt idx="12">
                  <c:v>0.20300000000000001</c:v>
                </c:pt>
                <c:pt idx="13">
                  <c:v>0.1986</c:v>
                </c:pt>
                <c:pt idx="14">
                  <c:v>0.19370000000000001</c:v>
                </c:pt>
                <c:pt idx="15">
                  <c:v>0.19030000000000002</c:v>
                </c:pt>
                <c:pt idx="16">
                  <c:v>0.18909999999999999</c:v>
                </c:pt>
                <c:pt idx="17">
                  <c:v>0.18899999999999997</c:v>
                </c:pt>
                <c:pt idx="18">
                  <c:v>0.19</c:v>
                </c:pt>
                <c:pt idx="19">
                  <c:v>0.1938</c:v>
                </c:pt>
                <c:pt idx="20">
                  <c:v>0.19800000000000001</c:v>
                </c:pt>
                <c:pt idx="21">
                  <c:v>0.2041</c:v>
                </c:pt>
                <c:pt idx="22">
                  <c:v>0.21010000000000001</c:v>
                </c:pt>
                <c:pt idx="23">
                  <c:v>0.21729999999999999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49-4C29-A2BF-73D47CA3ACAF}"/>
            </c:ext>
          </c:extLst>
        </c:ser>
        <c:ser>
          <c:idx val="9"/>
          <c:order val="9"/>
          <c:tx>
            <c:strRef>
              <c:f>main!$V$38</c:f>
              <c:strCache>
                <c:ptCount val="1"/>
                <c:pt idx="0">
                  <c:v>28-Feb-26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main!$V$39:$V$62</c:f>
              <c:numCache>
                <c:formatCode>0%</c:formatCode>
                <c:ptCount val="24"/>
                <c:pt idx="0">
                  <c:v>0.29849999999999999</c:v>
                </c:pt>
                <c:pt idx="1">
                  <c:v>0.29370000000000002</c:v>
                </c:pt>
                <c:pt idx="2">
                  <c:v>0.28600000000000003</c:v>
                </c:pt>
                <c:pt idx="3">
                  <c:v>0.27729999999999999</c:v>
                </c:pt>
                <c:pt idx="4">
                  <c:v>0.26839999999999997</c:v>
                </c:pt>
                <c:pt idx="5">
                  <c:v>0.26150000000000001</c:v>
                </c:pt>
                <c:pt idx="6">
                  <c:v>0.25340000000000001</c:v>
                </c:pt>
                <c:pt idx="7">
                  <c:v>0.24309999999999998</c:v>
                </c:pt>
                <c:pt idx="8">
                  <c:v>0.23569999999999999</c:v>
                </c:pt>
                <c:pt idx="9">
                  <c:v>0.22820000000000001</c:v>
                </c:pt>
                <c:pt idx="10">
                  <c:v>0.22030000000000002</c:v>
                </c:pt>
                <c:pt idx="11">
                  <c:v>0.21359999999999998</c:v>
                </c:pt>
                <c:pt idx="12">
                  <c:v>0.20739999999999997</c:v>
                </c:pt>
                <c:pt idx="13">
                  <c:v>0.20129999999999998</c:v>
                </c:pt>
                <c:pt idx="14">
                  <c:v>0.19690000000000002</c:v>
                </c:pt>
                <c:pt idx="15">
                  <c:v>0.19539999999999999</c:v>
                </c:pt>
                <c:pt idx="16">
                  <c:v>0.19370000000000001</c:v>
                </c:pt>
                <c:pt idx="17">
                  <c:v>0.1938</c:v>
                </c:pt>
                <c:pt idx="18">
                  <c:v>0.19399999999999998</c:v>
                </c:pt>
                <c:pt idx="19">
                  <c:v>0.19690000000000002</c:v>
                </c:pt>
                <c:pt idx="20">
                  <c:v>0.2006</c:v>
                </c:pt>
                <c:pt idx="21">
                  <c:v>0.20569999999999999</c:v>
                </c:pt>
                <c:pt idx="22">
                  <c:v>0.21289999999999998</c:v>
                </c:pt>
                <c:pt idx="23">
                  <c:v>0.22010000000000002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49-4C29-A2BF-73D47CA3ACAF}"/>
            </c:ext>
          </c:extLst>
        </c:ser>
        <c:ser>
          <c:idx val="10"/>
          <c:order val="10"/>
          <c:tx>
            <c:strRef>
              <c:f>main!$W$38</c:f>
              <c:strCache>
                <c:ptCount val="1"/>
                <c:pt idx="0">
                  <c:v>31-Mar-26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main!$W$39:$W$62</c:f>
              <c:numCache>
                <c:formatCode>0%</c:formatCode>
                <c:ptCount val="24"/>
                <c:pt idx="0">
                  <c:v>0.30420000000000003</c:v>
                </c:pt>
                <c:pt idx="1">
                  <c:v>0.29570000000000002</c:v>
                </c:pt>
                <c:pt idx="2">
                  <c:v>0.29100000000000004</c:v>
                </c:pt>
                <c:pt idx="3">
                  <c:v>0.2823</c:v>
                </c:pt>
                <c:pt idx="4">
                  <c:v>0.27300000000000002</c:v>
                </c:pt>
                <c:pt idx="5">
                  <c:v>0.26429999999999998</c:v>
                </c:pt>
                <c:pt idx="6">
                  <c:v>0.25609999999999999</c:v>
                </c:pt>
                <c:pt idx="7">
                  <c:v>0.24780000000000002</c:v>
                </c:pt>
                <c:pt idx="8">
                  <c:v>0.24010000000000001</c:v>
                </c:pt>
                <c:pt idx="9">
                  <c:v>0.23319999999999999</c:v>
                </c:pt>
                <c:pt idx="10">
                  <c:v>0.22450000000000001</c:v>
                </c:pt>
                <c:pt idx="11">
                  <c:v>0.21820000000000001</c:v>
                </c:pt>
                <c:pt idx="12">
                  <c:v>0.21030000000000001</c:v>
                </c:pt>
                <c:pt idx="13">
                  <c:v>0.2054</c:v>
                </c:pt>
                <c:pt idx="14">
                  <c:v>0.2014</c:v>
                </c:pt>
                <c:pt idx="15">
                  <c:v>0.1986</c:v>
                </c:pt>
                <c:pt idx="16">
                  <c:v>0.19719999999999999</c:v>
                </c:pt>
                <c:pt idx="17">
                  <c:v>0.1956</c:v>
                </c:pt>
                <c:pt idx="18">
                  <c:v>0.19789999999999999</c:v>
                </c:pt>
                <c:pt idx="19">
                  <c:v>0.19989999999999999</c:v>
                </c:pt>
                <c:pt idx="20">
                  <c:v>0.2041</c:v>
                </c:pt>
                <c:pt idx="21">
                  <c:v>0.20910000000000001</c:v>
                </c:pt>
                <c:pt idx="22">
                  <c:v>0.2152</c:v>
                </c:pt>
                <c:pt idx="23">
                  <c:v>0.2225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49-4C29-A2BF-73D47CA3ACAF}"/>
            </c:ext>
          </c:extLst>
        </c:ser>
        <c:ser>
          <c:idx val="11"/>
          <c:order val="11"/>
          <c:tx>
            <c:strRef>
              <c:f>main!$X$38</c:f>
              <c:strCache>
                <c:ptCount val="1"/>
                <c:pt idx="0">
                  <c:v>30-Apr-26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main!$X$39:$X$62</c:f>
              <c:numCache>
                <c:formatCode>0%</c:formatCode>
                <c:ptCount val="24"/>
                <c:pt idx="0">
                  <c:v>0.308</c:v>
                </c:pt>
                <c:pt idx="1">
                  <c:v>0.30020000000000002</c:v>
                </c:pt>
                <c:pt idx="2">
                  <c:v>0.29559999999999997</c:v>
                </c:pt>
                <c:pt idx="3">
                  <c:v>0.28610000000000002</c:v>
                </c:pt>
                <c:pt idx="4">
                  <c:v>0.27910000000000001</c:v>
                </c:pt>
                <c:pt idx="5">
                  <c:v>0.27100000000000002</c:v>
                </c:pt>
                <c:pt idx="6">
                  <c:v>0.26280000000000003</c:v>
                </c:pt>
                <c:pt idx="7">
                  <c:v>0.25519999999999998</c:v>
                </c:pt>
                <c:pt idx="8">
                  <c:v>0.247</c:v>
                </c:pt>
                <c:pt idx="9">
                  <c:v>0.23800000000000002</c:v>
                </c:pt>
                <c:pt idx="10">
                  <c:v>0.23170000000000002</c:v>
                </c:pt>
                <c:pt idx="11">
                  <c:v>0.2243</c:v>
                </c:pt>
                <c:pt idx="12">
                  <c:v>0.21609999999999999</c:v>
                </c:pt>
                <c:pt idx="13">
                  <c:v>0.2104</c:v>
                </c:pt>
                <c:pt idx="14">
                  <c:v>0.20660000000000001</c:v>
                </c:pt>
                <c:pt idx="15">
                  <c:v>0.20319999999999999</c:v>
                </c:pt>
                <c:pt idx="16">
                  <c:v>0.2009</c:v>
                </c:pt>
                <c:pt idx="17">
                  <c:v>0.2014</c:v>
                </c:pt>
                <c:pt idx="18">
                  <c:v>0.20219999999999999</c:v>
                </c:pt>
                <c:pt idx="19">
                  <c:v>0.20440000000000003</c:v>
                </c:pt>
                <c:pt idx="20">
                  <c:v>0.2072</c:v>
                </c:pt>
                <c:pt idx="21">
                  <c:v>0.21210000000000001</c:v>
                </c:pt>
                <c:pt idx="22">
                  <c:v>0.21850000000000003</c:v>
                </c:pt>
                <c:pt idx="23">
                  <c:v>0.22600000000000001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49-4C29-A2BF-73D47CA3ACAF}"/>
            </c:ext>
          </c:extLst>
        </c:ser>
        <c:ser>
          <c:idx val="12"/>
          <c:order val="12"/>
          <c:tx>
            <c:strRef>
              <c:f>main!$Y$38</c:f>
              <c:strCache>
                <c:ptCount val="1"/>
                <c:pt idx="0">
                  <c:v>31-May-26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main!$Y$39:$Y$62</c:f>
              <c:numCache>
                <c:formatCode>0%</c:formatCode>
                <c:ptCount val="24"/>
                <c:pt idx="0">
                  <c:v>0.3145</c:v>
                </c:pt>
                <c:pt idx="1">
                  <c:v>0.3054</c:v>
                </c:pt>
                <c:pt idx="2">
                  <c:v>0.2984</c:v>
                </c:pt>
                <c:pt idx="3">
                  <c:v>0.29359999999999997</c:v>
                </c:pt>
                <c:pt idx="4">
                  <c:v>0.28420000000000001</c:v>
                </c:pt>
                <c:pt idx="5">
                  <c:v>0.27589999999999998</c:v>
                </c:pt>
                <c:pt idx="6">
                  <c:v>0.26700000000000002</c:v>
                </c:pt>
                <c:pt idx="7">
                  <c:v>0.25819999999999999</c:v>
                </c:pt>
                <c:pt idx="8">
                  <c:v>0.2495</c:v>
                </c:pt>
                <c:pt idx="9">
                  <c:v>0.24179999999999999</c:v>
                </c:pt>
                <c:pt idx="10">
                  <c:v>0.23350000000000001</c:v>
                </c:pt>
                <c:pt idx="11">
                  <c:v>0.22649999999999998</c:v>
                </c:pt>
                <c:pt idx="12">
                  <c:v>0.22039999999999998</c:v>
                </c:pt>
                <c:pt idx="13">
                  <c:v>0.21559999999999999</c:v>
                </c:pt>
                <c:pt idx="14">
                  <c:v>0.2112</c:v>
                </c:pt>
                <c:pt idx="15">
                  <c:v>0.20730000000000001</c:v>
                </c:pt>
                <c:pt idx="16">
                  <c:v>0.20430000000000001</c:v>
                </c:pt>
                <c:pt idx="17">
                  <c:v>0.20300000000000001</c:v>
                </c:pt>
                <c:pt idx="18">
                  <c:v>0.20319999999999999</c:v>
                </c:pt>
                <c:pt idx="19">
                  <c:v>0.2069</c:v>
                </c:pt>
                <c:pt idx="20">
                  <c:v>0.21</c:v>
                </c:pt>
                <c:pt idx="21">
                  <c:v>0.21539999999999998</c:v>
                </c:pt>
                <c:pt idx="22">
                  <c:v>0.221</c:v>
                </c:pt>
                <c:pt idx="23">
                  <c:v>0.22800000000000001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49-4C29-A2BF-73D47CA3ACAF}"/>
            </c:ext>
          </c:extLst>
        </c:ser>
        <c:ser>
          <c:idx val="13"/>
          <c:order val="13"/>
          <c:tx>
            <c:strRef>
              <c:f>main!$Z$38</c:f>
              <c:strCache>
                <c:ptCount val="1"/>
                <c:pt idx="0">
                  <c:v>30-Jun-26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main!$Z$39:$Z$62</c:f>
              <c:numCache>
                <c:formatCode>0%</c:formatCode>
                <c:ptCount val="24"/>
                <c:pt idx="0">
                  <c:v>0.31309999999999999</c:v>
                </c:pt>
                <c:pt idx="1">
                  <c:v>0.30320000000000003</c:v>
                </c:pt>
                <c:pt idx="2">
                  <c:v>0.30149999999999999</c:v>
                </c:pt>
                <c:pt idx="3">
                  <c:v>0.29410000000000003</c:v>
                </c:pt>
                <c:pt idx="4">
                  <c:v>0.2868</c:v>
                </c:pt>
                <c:pt idx="5">
                  <c:v>0.27960000000000002</c:v>
                </c:pt>
                <c:pt idx="6">
                  <c:v>0.26940000000000003</c:v>
                </c:pt>
                <c:pt idx="7">
                  <c:v>0.26219999999999999</c:v>
                </c:pt>
                <c:pt idx="8">
                  <c:v>0.25280000000000002</c:v>
                </c:pt>
                <c:pt idx="9">
                  <c:v>0.2465</c:v>
                </c:pt>
                <c:pt idx="10">
                  <c:v>0.23860000000000001</c:v>
                </c:pt>
                <c:pt idx="11">
                  <c:v>0.2293</c:v>
                </c:pt>
                <c:pt idx="12">
                  <c:v>0.2235</c:v>
                </c:pt>
                <c:pt idx="13">
                  <c:v>0.21829999999999999</c:v>
                </c:pt>
                <c:pt idx="14">
                  <c:v>0.21359999999999998</c:v>
                </c:pt>
                <c:pt idx="15">
                  <c:v>0.21109999999999998</c:v>
                </c:pt>
                <c:pt idx="16">
                  <c:v>0.2079</c:v>
                </c:pt>
                <c:pt idx="17">
                  <c:v>0.2064</c:v>
                </c:pt>
                <c:pt idx="18">
                  <c:v>0.20610000000000001</c:v>
                </c:pt>
                <c:pt idx="19">
                  <c:v>0.2082</c:v>
                </c:pt>
                <c:pt idx="20">
                  <c:v>0.21280000000000002</c:v>
                </c:pt>
                <c:pt idx="21">
                  <c:v>0.21850000000000003</c:v>
                </c:pt>
                <c:pt idx="22">
                  <c:v>0.2243</c:v>
                </c:pt>
                <c:pt idx="23">
                  <c:v>0.23050000000000001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49-4C29-A2BF-73D47CA3ACAF}"/>
            </c:ext>
          </c:extLst>
        </c:ser>
        <c:ser>
          <c:idx val="14"/>
          <c:order val="14"/>
          <c:tx>
            <c:strRef>
              <c:f>main!$AA$38</c:f>
              <c:strCache>
                <c:ptCount val="1"/>
                <c:pt idx="0">
                  <c:v>31-Jul-26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main!$L$39:$L$62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main!$AA$39:$AA$62</c:f>
              <c:numCache>
                <c:formatCode>0%</c:formatCode>
                <c:ptCount val="24"/>
                <c:pt idx="0">
                  <c:v>0.31379999999999997</c:v>
                </c:pt>
                <c:pt idx="1">
                  <c:v>0.30930000000000002</c:v>
                </c:pt>
                <c:pt idx="2">
                  <c:v>0.30199999999999999</c:v>
                </c:pt>
                <c:pt idx="3">
                  <c:v>0.29549999999999998</c:v>
                </c:pt>
                <c:pt idx="4">
                  <c:v>0.28809999999999997</c:v>
                </c:pt>
                <c:pt idx="5">
                  <c:v>0.2823</c:v>
                </c:pt>
                <c:pt idx="6">
                  <c:v>0.2742</c:v>
                </c:pt>
                <c:pt idx="7">
                  <c:v>0.26440000000000002</c:v>
                </c:pt>
                <c:pt idx="8">
                  <c:v>0.25700000000000001</c:v>
                </c:pt>
                <c:pt idx="9">
                  <c:v>0.24969999999999998</c:v>
                </c:pt>
                <c:pt idx="10">
                  <c:v>0.24239999999999998</c:v>
                </c:pt>
                <c:pt idx="11">
                  <c:v>0.23600000000000002</c:v>
                </c:pt>
                <c:pt idx="12">
                  <c:v>0.22949999999999998</c:v>
                </c:pt>
                <c:pt idx="13">
                  <c:v>0.22210000000000002</c:v>
                </c:pt>
                <c:pt idx="14">
                  <c:v>0.21590000000000001</c:v>
                </c:pt>
                <c:pt idx="15">
                  <c:v>0.21329999999999999</c:v>
                </c:pt>
                <c:pt idx="16">
                  <c:v>0.2107</c:v>
                </c:pt>
                <c:pt idx="17">
                  <c:v>0.20929999999999999</c:v>
                </c:pt>
                <c:pt idx="18">
                  <c:v>0.20960000000000001</c:v>
                </c:pt>
                <c:pt idx="19">
                  <c:v>0.21179999999999999</c:v>
                </c:pt>
                <c:pt idx="20">
                  <c:v>0.215</c:v>
                </c:pt>
                <c:pt idx="21">
                  <c:v>0.22</c:v>
                </c:pt>
                <c:pt idx="22">
                  <c:v>0.22519999999999998</c:v>
                </c:pt>
                <c:pt idx="23">
                  <c:v>0.2324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49-4C29-A2BF-73D47CA3ACA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79159007"/>
        <c:axId val="979157567"/>
        <c:axId val="312983984"/>
      </c:surface3DChart>
      <c:catAx>
        <c:axId val="979159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157567"/>
        <c:crosses val="autoZero"/>
        <c:auto val="1"/>
        <c:lblAlgn val="ctr"/>
        <c:lblOffset val="100"/>
        <c:noMultiLvlLbl val="0"/>
      </c:catAx>
      <c:valAx>
        <c:axId val="979157567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79159007"/>
        <c:crosses val="autoZero"/>
        <c:crossBetween val="midCat"/>
      </c:valAx>
      <c:serAx>
        <c:axId val="312983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791575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400" b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Forward Curve</a:t>
            </a:r>
          </a:p>
        </c:rich>
      </c:tx>
      <c:layout>
        <c:manualLayout>
          <c:xMode val="edge"/>
          <c:yMode val="edge"/>
          <c:x val="0.335479002624671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9.1863517060367453E-2"/>
          <c:y val="0.14261592300962381"/>
          <c:w val="0.8692475940507437"/>
          <c:h val="0.64177420530766982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2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main!$N$5:$N$34</c:f>
              <c:numCache>
                <c:formatCode>d\-mmm\-yy</c:formatCode>
                <c:ptCount val="30"/>
                <c:pt idx="0">
                  <c:v>45789.869145046294</c:v>
                </c:pt>
                <c:pt idx="1">
                  <c:v>45820</c:v>
                </c:pt>
                <c:pt idx="2">
                  <c:v>45850</c:v>
                </c:pt>
                <c:pt idx="3">
                  <c:v>45881</c:v>
                </c:pt>
                <c:pt idx="4">
                  <c:v>45912</c:v>
                </c:pt>
                <c:pt idx="5">
                  <c:v>45942</c:v>
                </c:pt>
                <c:pt idx="6">
                  <c:v>45973</c:v>
                </c:pt>
                <c:pt idx="7">
                  <c:v>46003</c:v>
                </c:pt>
                <c:pt idx="8">
                  <c:v>46034</c:v>
                </c:pt>
                <c:pt idx="9">
                  <c:v>46065</c:v>
                </c:pt>
                <c:pt idx="10">
                  <c:v>46093</c:v>
                </c:pt>
                <c:pt idx="11">
                  <c:v>46124</c:v>
                </c:pt>
                <c:pt idx="12">
                  <c:v>46154</c:v>
                </c:pt>
                <c:pt idx="13">
                  <c:v>46185</c:v>
                </c:pt>
                <c:pt idx="14">
                  <c:v>46215</c:v>
                </c:pt>
                <c:pt idx="15">
                  <c:v>46246</c:v>
                </c:pt>
                <c:pt idx="16">
                  <c:v>46277</c:v>
                </c:pt>
                <c:pt idx="17">
                  <c:v>46307</c:v>
                </c:pt>
                <c:pt idx="18">
                  <c:v>46338</c:v>
                </c:pt>
                <c:pt idx="19">
                  <c:v>46368</c:v>
                </c:pt>
                <c:pt idx="20">
                  <c:v>46399</c:v>
                </c:pt>
                <c:pt idx="21">
                  <c:v>46430</c:v>
                </c:pt>
                <c:pt idx="22">
                  <c:v>46458</c:v>
                </c:pt>
                <c:pt idx="23">
                  <c:v>46489</c:v>
                </c:pt>
                <c:pt idx="24">
                  <c:v>46519</c:v>
                </c:pt>
                <c:pt idx="25">
                  <c:v>46550</c:v>
                </c:pt>
                <c:pt idx="26">
                  <c:v>46580</c:v>
                </c:pt>
                <c:pt idx="27">
                  <c:v>46611</c:v>
                </c:pt>
                <c:pt idx="28">
                  <c:v>46642</c:v>
                </c:pt>
                <c:pt idx="29">
                  <c:v>46672</c:v>
                </c:pt>
              </c:numCache>
            </c:numRef>
          </c:cat>
          <c:val>
            <c:numRef>
              <c:f>main!$O$5:$O$34</c:f>
              <c:numCache>
                <c:formatCode>0.00%</c:formatCode>
                <c:ptCount val="30"/>
                <c:pt idx="0">
                  <c:v>4.2500000000000003E-2</c:v>
                </c:pt>
                <c:pt idx="1">
                  <c:v>4.2300000000000004E-2</c:v>
                </c:pt>
                <c:pt idx="2">
                  <c:v>4.2099999999999999E-2</c:v>
                </c:pt>
                <c:pt idx="3">
                  <c:v>4.1900000000000007E-2</c:v>
                </c:pt>
                <c:pt idx="4">
                  <c:v>4.1599999999999998E-2</c:v>
                </c:pt>
                <c:pt idx="5">
                  <c:v>4.1299999999999996E-2</c:v>
                </c:pt>
                <c:pt idx="6">
                  <c:v>4.1100000000000005E-2</c:v>
                </c:pt>
                <c:pt idx="7">
                  <c:v>4.0800000000000003E-2</c:v>
                </c:pt>
                <c:pt idx="8">
                  <c:v>4.0599999999999997E-2</c:v>
                </c:pt>
                <c:pt idx="9">
                  <c:v>4.0399999999999998E-2</c:v>
                </c:pt>
                <c:pt idx="10">
                  <c:v>4.0199999999999993E-2</c:v>
                </c:pt>
                <c:pt idx="11">
                  <c:v>0.04</c:v>
                </c:pt>
                <c:pt idx="12">
                  <c:v>3.9599999999999996E-2</c:v>
                </c:pt>
                <c:pt idx="13">
                  <c:v>3.9199999999999999E-2</c:v>
                </c:pt>
                <c:pt idx="14">
                  <c:v>3.8800000000000001E-2</c:v>
                </c:pt>
                <c:pt idx="15">
                  <c:v>3.85E-2</c:v>
                </c:pt>
                <c:pt idx="16">
                  <c:v>3.8199999999999998E-2</c:v>
                </c:pt>
                <c:pt idx="17">
                  <c:v>3.78E-2</c:v>
                </c:pt>
                <c:pt idx="18">
                  <c:v>3.7499999999999999E-2</c:v>
                </c:pt>
                <c:pt idx="19">
                  <c:v>3.7200000000000004E-2</c:v>
                </c:pt>
                <c:pt idx="20">
                  <c:v>3.7000000000000005E-2</c:v>
                </c:pt>
                <c:pt idx="21">
                  <c:v>3.6799999999999999E-2</c:v>
                </c:pt>
                <c:pt idx="22">
                  <c:v>3.6699999999999997E-2</c:v>
                </c:pt>
                <c:pt idx="23">
                  <c:v>3.6499999999999998E-2</c:v>
                </c:pt>
                <c:pt idx="24">
                  <c:v>3.6600000000000001E-2</c:v>
                </c:pt>
                <c:pt idx="25">
                  <c:v>3.6699999999999997E-2</c:v>
                </c:pt>
                <c:pt idx="26">
                  <c:v>3.6900000000000002E-2</c:v>
                </c:pt>
                <c:pt idx="27">
                  <c:v>3.7100000000000001E-2</c:v>
                </c:pt>
                <c:pt idx="28">
                  <c:v>3.73E-2</c:v>
                </c:pt>
                <c:pt idx="29">
                  <c:v>3.7499999999999999E-2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9-4EA1-AA82-58B579C7C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328495"/>
        <c:axId val="1061335695"/>
      </c:lineChart>
      <c:dateAx>
        <c:axId val="106132849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335695"/>
        <c:crosses val="autoZero"/>
        <c:auto val="1"/>
        <c:lblOffset val="100"/>
        <c:baseTimeUnit val="months"/>
      </c:dateAx>
      <c:valAx>
        <c:axId val="10613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328495"/>
        <c:crosses val="autoZero"/>
        <c:crossBetween val="between"/>
        <c:majorUnit val="3.0000000000000009E-3"/>
        <c:minorUnit val="4.0000000000000013E-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180974</xdr:colOff>
      <xdr:row>19</xdr:row>
      <xdr:rowOff>0</xdr:rowOff>
    </xdr:from>
    <xdr:to>
      <xdr:col>21</xdr:col>
      <xdr:colOff>752475</xdr:colOff>
      <xdr:row>41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73494-363B-D481-CA8D-D88203DCF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376237</xdr:colOff>
      <xdr:row>1</xdr:row>
      <xdr:rowOff>157162</xdr:rowOff>
    </xdr:from>
    <xdr:to>
      <xdr:col>21</xdr:col>
      <xdr:colOff>204787</xdr:colOff>
      <xdr:row>18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DE68F4-3EF5-E4C3-EA5D-C7EE9316C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771525</xdr:colOff>
      <xdr:row>48</xdr:row>
      <xdr:rowOff>66676</xdr:rowOff>
    </xdr:from>
    <xdr:to>
      <xdr:col>10</xdr:col>
      <xdr:colOff>1057275</xdr:colOff>
      <xdr:row>63</xdr:row>
      <xdr:rowOff>3303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CBE4F1-58FD-1772-F1B2-085A3739B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7943851"/>
          <a:ext cx="3714750" cy="23655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lij\OneDrive\Documents\MyDocuments\Coding\python\xlbricks\xlbricks\xlbricks.xlam" TargetMode="External"/><Relationship Id="rId1" Type="http://schemas.openxmlformats.org/officeDocument/2006/relationships/externalLinkPath" Target="file:///C:\Users\julij\OneDrive\Documents\MyDocuments\Coding\python\xlbricks\xlbricks\xlbrick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xlb_array"/>
      <definedName name="xlb_bricks"/>
      <definedName name="xlb_create_context"/>
      <definedName name="xlb_create_function"/>
      <definedName name="xlb_flatten"/>
      <definedName name="xlb_grid"/>
      <definedName name="xlb_run_function"/>
      <definedName name="xlb_run_ql_function"/>
      <definedName name="xlb_today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E5CE-83B9-48BA-820B-58BBD2C67341}">
  <sheetPr codeName="Sheet2"/>
  <dimension ref="A1:AF96"/>
  <sheetViews>
    <sheetView showGridLines="0" tabSelected="1" zoomScaleNormal="100" workbookViewId="0">
      <selection activeCell="B3" sqref="B3"/>
    </sheetView>
  </sheetViews>
  <sheetFormatPr defaultRowHeight="12.75" outlineLevelCol="1" x14ac:dyDescent="0.2"/>
  <cols>
    <col min="1" max="1" width="2.28515625" style="1" customWidth="1"/>
    <col min="2" max="2" width="29.85546875" style="1" bestFit="1" customWidth="1"/>
    <col min="3" max="3" width="29.85546875" style="1" customWidth="1"/>
    <col min="4" max="4" width="18.5703125" style="1" customWidth="1"/>
    <col min="5" max="5" width="11.7109375" style="1" customWidth="1"/>
    <col min="6" max="6" width="31.5703125" style="1" customWidth="1" outlineLevel="1"/>
    <col min="7" max="7" width="29.7109375" style="1" customWidth="1" outlineLevel="1"/>
    <col min="8" max="10" width="17.140625" style="1" customWidth="1" outlineLevel="1"/>
    <col min="11" max="11" width="21.7109375" style="1" customWidth="1"/>
    <col min="12" max="12" width="29.28515625" style="1" bestFit="1" customWidth="1"/>
    <col min="13" max="13" width="15" style="1" customWidth="1"/>
    <col min="14" max="14" width="11.5703125" style="1" customWidth="1"/>
    <col min="15" max="15" width="11.42578125" style="1" customWidth="1"/>
    <col min="16" max="17" width="10.7109375" style="1" bestFit="1" customWidth="1"/>
    <col min="18" max="28" width="12.42578125" style="1" customWidth="1"/>
    <col min="29" max="29" width="9.140625" style="1"/>
    <col min="30" max="30" width="18.42578125" style="1" bestFit="1" customWidth="1"/>
    <col min="31" max="31" width="2.7109375" style="1" customWidth="1"/>
    <col min="32" max="32" width="15" style="1" customWidth="1"/>
    <col min="33" max="35" width="9.140625" style="1"/>
    <col min="36" max="36" width="9.28515625" style="1" bestFit="1" customWidth="1"/>
    <col min="37" max="16384" width="9.140625" style="1"/>
  </cols>
  <sheetData>
    <row r="1" spans="1:32" s="44" customFormat="1" ht="21" customHeight="1" x14ac:dyDescent="0.2">
      <c r="A1" s="86" t="s">
        <v>69</v>
      </c>
      <c r="K1" s="47" t="s">
        <v>51</v>
      </c>
    </row>
    <row r="3" spans="1:32" x14ac:dyDescent="0.2">
      <c r="B3" s="8" t="s">
        <v>10</v>
      </c>
      <c r="C3" s="65" t="str" cm="1">
        <f t="array" ref="C3">[1]!xlb_create_context("QuantSpaceContext")</f>
        <v>[OptionsPricer.xlsx]main!$C$3:0</v>
      </c>
      <c r="F3" s="4" t="s">
        <v>27</v>
      </c>
    </row>
    <row r="4" spans="1:32" x14ac:dyDescent="0.2">
      <c r="B4" s="14" t="s">
        <v>4</v>
      </c>
      <c r="C4" s="66" cm="1">
        <f t="array" ref="C4">[1]!xlb_today()</f>
        <v>45789.869145046294</v>
      </c>
      <c r="F4" s="89" t="str" cm="1">
        <f t="array" ref="F4">[1]!xlb_grid(F5:G14)</f>
        <v>[OptionsPricer.xlsx]main!$F$4:0</v>
      </c>
      <c r="I4" s="6"/>
      <c r="K4" s="4" t="s">
        <v>11</v>
      </c>
      <c r="N4" s="29" t="s">
        <v>49</v>
      </c>
      <c r="O4" s="29" t="s">
        <v>50</v>
      </c>
    </row>
    <row r="5" spans="1:32" x14ac:dyDescent="0.2">
      <c r="F5" s="8" t="s">
        <v>4</v>
      </c>
      <c r="G5" s="18">
        <f>$C$4</f>
        <v>45789.869145046294</v>
      </c>
      <c r="I5" s="25"/>
      <c r="K5" s="5" t="str" cm="1">
        <f t="array" ref="K5">[1]!xlb_grid(K6:L9)</f>
        <v>[OptionsPricer.xlsx]main!$K$5:0</v>
      </c>
      <c r="N5" s="51">
        <f>C4</f>
        <v>45789.869145046294</v>
      </c>
      <c r="O5" s="52">
        <v>4.2500000000000003E-2</v>
      </c>
    </row>
    <row r="6" spans="1:32" x14ac:dyDescent="0.2">
      <c r="B6" s="4" t="s">
        <v>38</v>
      </c>
      <c r="F6" s="10" t="s">
        <v>6</v>
      </c>
      <c r="G6" s="19">
        <f>C9</f>
        <v>46149.869145046294</v>
      </c>
      <c r="K6" s="8" t="s">
        <v>3</v>
      </c>
      <c r="L6" s="65" t="str" cm="1">
        <f t="array" ref="L6">[1]!xlb_array(N5:N34)</f>
        <v>[OptionsPricer.xlsx]main!$L$6:0</v>
      </c>
      <c r="N6" s="53">
        <f>EDATE(N5,1)</f>
        <v>45820</v>
      </c>
      <c r="O6" s="54">
        <v>4.2300000000000004E-2</v>
      </c>
    </row>
    <row r="7" spans="1:32" x14ac:dyDescent="0.2">
      <c r="B7" s="5" t="str" cm="1">
        <f t="array" ref="B7">[1]!xlb_grid(B8:C16)</f>
        <v>[OptionsPricer.xlsx]main!$B$7:0</v>
      </c>
      <c r="F7" s="10" t="s">
        <v>41</v>
      </c>
      <c r="G7" s="13">
        <v>60</v>
      </c>
      <c r="K7" s="10" t="s">
        <v>14</v>
      </c>
      <c r="L7" s="20" t="str" cm="1">
        <f t="array" ref="L7">[1]!xlb_array(O5:O34)</f>
        <v>[OptionsPricer.xlsx]main!$L$7:0</v>
      </c>
      <c r="N7" s="53">
        <f t="shared" ref="N7:N33" si="0">EDATE(N6,1)</f>
        <v>45850</v>
      </c>
      <c r="O7" s="54">
        <v>4.2099999999999999E-2</v>
      </c>
      <c r="AF7" s="2"/>
    </row>
    <row r="8" spans="1:32" x14ac:dyDescent="0.2">
      <c r="B8" s="8" t="s">
        <v>4</v>
      </c>
      <c r="C8" s="22">
        <f>$C$4</f>
        <v>45789.869145046294</v>
      </c>
      <c r="F8" s="10" t="s">
        <v>28</v>
      </c>
      <c r="G8" s="13">
        <v>65</v>
      </c>
      <c r="K8" s="10" t="s">
        <v>1</v>
      </c>
      <c r="L8" s="13" t="s">
        <v>47</v>
      </c>
      <c r="N8" s="53">
        <f t="shared" si="0"/>
        <v>45881</v>
      </c>
      <c r="O8" s="54">
        <v>4.1900000000000007E-2</v>
      </c>
      <c r="AF8" s="2"/>
    </row>
    <row r="9" spans="1:32" x14ac:dyDescent="0.2">
      <c r="B9" s="10" t="s">
        <v>6</v>
      </c>
      <c r="C9" s="19">
        <f>C8+360</f>
        <v>46149.869145046294</v>
      </c>
      <c r="F9" s="10" t="s">
        <v>29</v>
      </c>
      <c r="G9" s="13">
        <v>70</v>
      </c>
      <c r="K9" s="14" t="s">
        <v>0</v>
      </c>
      <c r="L9" s="21" t="s">
        <v>12</v>
      </c>
      <c r="N9" s="53">
        <f t="shared" si="0"/>
        <v>45912</v>
      </c>
      <c r="O9" s="54">
        <v>4.1599999999999998E-2</v>
      </c>
    </row>
    <row r="10" spans="1:32" x14ac:dyDescent="0.2">
      <c r="B10" s="10" t="s">
        <v>41</v>
      </c>
      <c r="C10" s="13">
        <v>60</v>
      </c>
      <c r="F10" s="10" t="s">
        <v>8</v>
      </c>
      <c r="G10" s="13" t="s">
        <v>9</v>
      </c>
      <c r="N10" s="53">
        <f t="shared" si="0"/>
        <v>45942</v>
      </c>
      <c r="O10" s="54">
        <v>4.1299999999999996E-2</v>
      </c>
      <c r="Q10" s="3"/>
      <c r="R10" s="6"/>
    </row>
    <row r="11" spans="1:32" x14ac:dyDescent="0.2">
      <c r="B11" s="10" t="s">
        <v>7</v>
      </c>
      <c r="C11" s="13">
        <v>65</v>
      </c>
      <c r="F11" s="10" t="s">
        <v>17</v>
      </c>
      <c r="G11" s="13" t="s">
        <v>18</v>
      </c>
      <c r="K11" s="16" t="s">
        <v>13</v>
      </c>
      <c r="L11" s="17" t="str" cm="1">
        <f t="array" ref="L11">[1]!xlb_run_ql_function($C$3,"forward_curve",K5)</f>
        <v>[OptionsPricer.xlsx]main!$L$11:0</v>
      </c>
      <c r="N11" s="53">
        <f t="shared" si="0"/>
        <v>45973</v>
      </c>
      <c r="O11" s="54">
        <v>4.1100000000000005E-2</v>
      </c>
      <c r="Q11" s="3"/>
      <c r="R11" s="6"/>
    </row>
    <row r="12" spans="1:32" x14ac:dyDescent="0.2">
      <c r="B12" s="10" t="s">
        <v>8</v>
      </c>
      <c r="C12" s="13" t="s">
        <v>9</v>
      </c>
      <c r="F12" s="10" t="s">
        <v>5</v>
      </c>
      <c r="G12" s="20" t="str">
        <f>$L$23</f>
        <v>[OptionsPricer.xlsx]main!$L$23:0</v>
      </c>
      <c r="N12" s="53">
        <f t="shared" si="0"/>
        <v>46003</v>
      </c>
      <c r="O12" s="54">
        <v>4.0800000000000003E-2</v>
      </c>
      <c r="Q12" s="3"/>
      <c r="R12" s="6"/>
      <c r="V12" s="3"/>
      <c r="W12" s="3"/>
    </row>
    <row r="13" spans="1:32" x14ac:dyDescent="0.2">
      <c r="B13" s="10" t="s">
        <v>17</v>
      </c>
      <c r="C13" s="13" t="s">
        <v>18</v>
      </c>
      <c r="F13" s="10" t="s">
        <v>2</v>
      </c>
      <c r="G13" s="20" t="str">
        <f>$L$11</f>
        <v>[OptionsPricer.xlsx]main!$L$11:0</v>
      </c>
      <c r="N13" s="53">
        <f t="shared" si="0"/>
        <v>46034</v>
      </c>
      <c r="O13" s="54">
        <v>4.0599999999999997E-2</v>
      </c>
      <c r="Q13" s="3"/>
      <c r="R13" s="6"/>
    </row>
    <row r="14" spans="1:32" x14ac:dyDescent="0.2">
      <c r="B14" s="10" t="s">
        <v>5</v>
      </c>
      <c r="C14" s="20" t="str">
        <f>IF($D$14="SURFACE",$L$23,$L$33)</f>
        <v>[OptionsPricer.xlsx]main!$L$33:0</v>
      </c>
      <c r="D14" s="111" t="s">
        <v>71</v>
      </c>
      <c r="F14" s="14" t="s">
        <v>25</v>
      </c>
      <c r="G14" s="21">
        <v>1000</v>
      </c>
      <c r="K14" s="4" t="s">
        <v>46</v>
      </c>
      <c r="N14" s="53">
        <f t="shared" si="0"/>
        <v>46065</v>
      </c>
      <c r="O14" s="54">
        <v>4.0399999999999998E-2</v>
      </c>
      <c r="Q14" s="3"/>
      <c r="R14" s="6"/>
    </row>
    <row r="15" spans="1:32" x14ac:dyDescent="0.2">
      <c r="B15" s="10" t="s">
        <v>2</v>
      </c>
      <c r="C15" s="20" t="str">
        <f>$L$11</f>
        <v>[OptionsPricer.xlsx]main!$L$11:0</v>
      </c>
      <c r="K15" s="5" t="str" cm="1">
        <f t="array" ref="K15">[1]!xlb_grid(K16:L21)</f>
        <v>[OptionsPricer.xlsx]main!$K$15:0</v>
      </c>
      <c r="N15" s="53">
        <f t="shared" si="0"/>
        <v>46093</v>
      </c>
      <c r="O15" s="54">
        <v>4.0199999999999993E-2</v>
      </c>
      <c r="Q15" s="3"/>
      <c r="R15" s="6"/>
    </row>
    <row r="16" spans="1:32" x14ac:dyDescent="0.2">
      <c r="B16" s="14" t="s">
        <v>25</v>
      </c>
      <c r="C16" s="21">
        <v>1000</v>
      </c>
      <c r="F16" s="16" t="s">
        <v>13</v>
      </c>
      <c r="G16" s="17" t="str" cm="1">
        <f t="array" ref="G16">[1]!xlb_run_ql_function($C$3,"comdty_vanilla_option_spread",F4)</f>
        <v>[OptionsPricer.xlsx]main!$G$16:0</v>
      </c>
      <c r="K16" s="8" t="s">
        <v>4</v>
      </c>
      <c r="L16" s="18">
        <f>$C$4</f>
        <v>45789.869145046294</v>
      </c>
      <c r="N16" s="53">
        <f t="shared" si="0"/>
        <v>46124</v>
      </c>
      <c r="O16" s="54">
        <v>0.04</v>
      </c>
      <c r="Q16" s="3"/>
      <c r="R16" s="6"/>
    </row>
    <row r="17" spans="2:18" x14ac:dyDescent="0.2">
      <c r="K17" s="10" t="s">
        <v>15</v>
      </c>
      <c r="L17" s="20" t="str" cm="1">
        <f t="array" ref="L17">[1]!xlb_array(M38:AA38)</f>
        <v>[OptionsPricer.xlsx]main!$L$17:0</v>
      </c>
      <c r="N17" s="53">
        <f t="shared" si="0"/>
        <v>46154</v>
      </c>
      <c r="O17" s="54">
        <v>3.9599999999999996E-2</v>
      </c>
      <c r="Q17" s="3"/>
      <c r="R17" s="6"/>
    </row>
    <row r="18" spans="2:18" x14ac:dyDescent="0.2">
      <c r="B18" s="16" t="s">
        <v>13</v>
      </c>
      <c r="C18" s="23" t="str" cm="1">
        <f t="array" ref="C18">[1]!xlb_run_ql_function($C$3,"comdty_vanilla_option",B7)</f>
        <v>[OptionsPricer.xlsx]main!$C$18:0</v>
      </c>
      <c r="F18" s="1" t="str" cm="1">
        <f t="array" ref="F18:I24">[1]!xlb_flatten(G16)</f>
        <v/>
      </c>
      <c r="G18" s="7" t="str">
        <v>CALL_LONG</v>
      </c>
      <c r="H18" s="7" t="str">
        <v>CALL_SHORT</v>
      </c>
      <c r="I18" s="7" t="str">
        <v>CALL_SPREAD</v>
      </c>
      <c r="K18" s="10" t="s">
        <v>53</v>
      </c>
      <c r="L18" s="20" t="str" cm="1">
        <f t="array" ref="L18">[1]!xlb_array(L39:L62)</f>
        <v>[OptionsPricer.xlsx]main!$L$18:0</v>
      </c>
      <c r="N18" s="53">
        <f t="shared" si="0"/>
        <v>46185</v>
      </c>
      <c r="O18" s="54">
        <v>3.9199999999999999E-2</v>
      </c>
      <c r="Q18" s="3"/>
      <c r="R18" s="6"/>
    </row>
    <row r="19" spans="2:18" x14ac:dyDescent="0.2">
      <c r="E19" s="7"/>
      <c r="F19" s="67" t="str">
        <v>price</v>
      </c>
      <c r="G19" s="26">
        <v>3.1023610464604658</v>
      </c>
      <c r="H19" s="26">
        <v>1.760477012148518</v>
      </c>
      <c r="I19" s="26">
        <v>1.3418840343119478</v>
      </c>
      <c r="K19" s="10" t="s">
        <v>16</v>
      </c>
      <c r="L19" s="20" t="str" cm="1">
        <f t="array" ref="L19">[1]!xlb_array(M39:AA62)</f>
        <v>[OptionsPricer.xlsx]main!$L$19:0</v>
      </c>
      <c r="N19" s="53">
        <f t="shared" si="0"/>
        <v>46215</v>
      </c>
      <c r="O19" s="54">
        <v>3.8800000000000001E-2</v>
      </c>
      <c r="Q19" s="3"/>
      <c r="R19" s="6"/>
    </row>
    <row r="20" spans="2:18" x14ac:dyDescent="0.2">
      <c r="B20" s="1" t="str" cm="1">
        <f t="array" ref="B20:C26">[1]!xlb_flatten(C18)</f>
        <v/>
      </c>
      <c r="C20" s="7" t="str">
        <v>CALL</v>
      </c>
      <c r="E20" s="7"/>
      <c r="F20" s="68" t="str">
        <v>delta</v>
      </c>
      <c r="G20" s="81">
        <v>0.380436851903099</v>
      </c>
      <c r="H20" s="81">
        <v>0.25442737090629047</v>
      </c>
      <c r="I20" s="81">
        <v>0.12600948099680853</v>
      </c>
      <c r="K20" s="10" t="s">
        <v>1</v>
      </c>
      <c r="L20" s="13" t="s">
        <v>47</v>
      </c>
      <c r="M20" s="3"/>
      <c r="N20" s="53">
        <f t="shared" si="0"/>
        <v>46246</v>
      </c>
      <c r="O20" s="54">
        <v>3.85E-2</v>
      </c>
      <c r="Q20" s="3"/>
      <c r="R20" s="6"/>
    </row>
    <row r="21" spans="2:18" x14ac:dyDescent="0.2">
      <c r="B21" s="67" t="str">
        <v>price</v>
      </c>
      <c r="C21" s="26">
        <v>2.7263777672298448</v>
      </c>
      <c r="E21" s="28"/>
      <c r="F21" s="68" t="str">
        <v>gamma</v>
      </c>
      <c r="G21" s="81">
        <v>2.8600810764465853E-2</v>
      </c>
      <c r="H21" s="81">
        <v>2.4936687763518449E-2</v>
      </c>
      <c r="I21" s="81">
        <v>3.6641230009474036E-3</v>
      </c>
      <c r="K21" s="14" t="s">
        <v>0</v>
      </c>
      <c r="L21" s="21" t="s">
        <v>12</v>
      </c>
      <c r="N21" s="53">
        <f t="shared" si="0"/>
        <v>46277</v>
      </c>
      <c r="O21" s="54">
        <v>3.8199999999999998E-2</v>
      </c>
      <c r="Q21" s="3"/>
      <c r="R21" s="6"/>
    </row>
    <row r="22" spans="2:18" x14ac:dyDescent="0.2">
      <c r="B22" s="68" t="str">
        <v>delta</v>
      </c>
      <c r="C22" s="81">
        <v>0.36559560700337873</v>
      </c>
      <c r="F22" s="68" t="str">
        <v>theta</v>
      </c>
      <c r="G22" s="81">
        <v>-2.3001645357610845</v>
      </c>
      <c r="H22" s="81">
        <v>-1.9387600717595153</v>
      </c>
      <c r="I22" s="81">
        <v>-0.36140446400156923</v>
      </c>
      <c r="N22" s="53">
        <f t="shared" si="0"/>
        <v>46307</v>
      </c>
      <c r="O22" s="54">
        <v>3.78E-2</v>
      </c>
      <c r="Q22" s="3"/>
      <c r="R22" s="6"/>
    </row>
    <row r="23" spans="2:18" x14ac:dyDescent="0.2">
      <c r="B23" s="68" t="str">
        <v>gamma</v>
      </c>
      <c r="C23" s="81">
        <v>3.0699387515565817E-2</v>
      </c>
      <c r="F23" s="68" t="str">
        <v>vega</v>
      </c>
      <c r="G23" s="81">
        <v>22.051456654384591</v>
      </c>
      <c r="H23" s="81">
        <v>18.741235457049484</v>
      </c>
      <c r="I23" s="81">
        <v>3.3102211973351068</v>
      </c>
      <c r="K23" s="16" t="s">
        <v>13</v>
      </c>
      <c r="L23" s="17" t="str" cm="1">
        <f t="array" ref="L23">[1]!xlb_run_ql_function($C$3,"black_variance_surface",K15)</f>
        <v>[OptionsPricer.xlsx]main!$L$23:0</v>
      </c>
      <c r="N23" s="53">
        <f t="shared" si="0"/>
        <v>46338</v>
      </c>
      <c r="O23" s="54">
        <v>3.7499999999999999E-2</v>
      </c>
    </row>
    <row r="24" spans="2:18" x14ac:dyDescent="0.2">
      <c r="B24" s="68" t="str">
        <v>theta</v>
      </c>
      <c r="C24" s="81">
        <v>-2.0985251863990744</v>
      </c>
      <c r="F24" s="69" t="str">
        <v>rho</v>
      </c>
      <c r="G24" s="82">
        <v>19.453660340770341</v>
      </c>
      <c r="H24" s="82">
        <v>13.320162978636752</v>
      </c>
      <c r="I24" s="82">
        <v>6.1334973621335891</v>
      </c>
      <c r="N24" s="53">
        <f t="shared" si="0"/>
        <v>46368</v>
      </c>
      <c r="O24" s="54">
        <v>3.7200000000000004E-2</v>
      </c>
    </row>
    <row r="25" spans="2:18" x14ac:dyDescent="0.2">
      <c r="B25" s="68" t="str">
        <v>vega</v>
      </c>
      <c r="C25" s="81">
        <v>21.800770531601827</v>
      </c>
      <c r="D25" s="110"/>
      <c r="N25" s="53">
        <f t="shared" si="0"/>
        <v>46399</v>
      </c>
      <c r="O25" s="54">
        <v>3.7000000000000005E-2</v>
      </c>
    </row>
    <row r="26" spans="2:18" x14ac:dyDescent="0.2">
      <c r="B26" s="69" t="str">
        <v>rho</v>
      </c>
      <c r="C26" s="82">
        <v>18.946216753617112</v>
      </c>
      <c r="K26" s="4" t="s">
        <v>52</v>
      </c>
      <c r="N26" s="53">
        <f t="shared" si="0"/>
        <v>46430</v>
      </c>
      <c r="O26" s="54">
        <v>3.6799999999999999E-2</v>
      </c>
    </row>
    <row r="27" spans="2:18" x14ac:dyDescent="0.2">
      <c r="F27" s="4" t="s">
        <v>26</v>
      </c>
      <c r="K27" s="5" t="str" cm="1">
        <f t="array" ref="K27">[1]!xlb_grid(K28:L31)</f>
        <v>[OptionsPricer.xlsx]main!$K$27:0</v>
      </c>
      <c r="N27" s="53">
        <f t="shared" si="0"/>
        <v>46458</v>
      </c>
      <c r="O27" s="54">
        <v>3.6699999999999997E-2</v>
      </c>
    </row>
    <row r="28" spans="2:18" x14ac:dyDescent="0.2">
      <c r="F28" s="5" t="str" cm="1">
        <f t="array" ref="F28">[1]!xlb_grid(F29:G37)</f>
        <v>[OptionsPricer.xlsx]main!$F$28:0</v>
      </c>
      <c r="K28" s="8" t="s">
        <v>4</v>
      </c>
      <c r="L28" s="18">
        <f>$C$4</f>
        <v>45789.869145046294</v>
      </c>
      <c r="N28" s="53">
        <f t="shared" si="0"/>
        <v>46489</v>
      </c>
      <c r="O28" s="54">
        <v>3.6499999999999998E-2</v>
      </c>
    </row>
    <row r="29" spans="2:18" x14ac:dyDescent="0.2">
      <c r="B29" s="30" t="s">
        <v>39</v>
      </c>
      <c r="F29" s="8" t="s">
        <v>4</v>
      </c>
      <c r="G29" s="18">
        <f>$C$4</f>
        <v>45789.869145046294</v>
      </c>
      <c r="K29" s="10" t="s">
        <v>5</v>
      </c>
      <c r="L29" s="61">
        <v>0.2</v>
      </c>
      <c r="N29" s="53">
        <f t="shared" si="0"/>
        <v>46519</v>
      </c>
      <c r="O29" s="54">
        <v>3.6600000000000001E-2</v>
      </c>
    </row>
    <row r="30" spans="2:18" x14ac:dyDescent="0.2">
      <c r="F30" s="10" t="s">
        <v>6</v>
      </c>
      <c r="G30" s="19">
        <f>G29+360</f>
        <v>46149.869145046294</v>
      </c>
      <c r="K30" s="10" t="s">
        <v>1</v>
      </c>
      <c r="L30" s="13" t="s">
        <v>47</v>
      </c>
      <c r="N30" s="53">
        <f t="shared" si="0"/>
        <v>46550</v>
      </c>
      <c r="O30" s="54">
        <v>3.6699999999999997E-2</v>
      </c>
    </row>
    <row r="31" spans="2:18" x14ac:dyDescent="0.2">
      <c r="B31" s="33" t="s">
        <v>35</v>
      </c>
      <c r="C31" s="35" cm="1">
        <f t="array" ref="C31">[1]!xlb_flatten([1]!xlb_run_ql_function($C$3,"zero_rates",[1]!xlb_bricks("yield_curve",$C$15,"dates",$C$9,"day_counter",$L$8,"compounding","CONTINUOUS",,,,,,,,,FALSE),FALSE))</f>
        <v>4.1018055555555571E-2</v>
      </c>
      <c r="F31" s="10" t="s">
        <v>41</v>
      </c>
      <c r="G31" s="13">
        <v>60</v>
      </c>
      <c r="K31" s="14" t="s">
        <v>0</v>
      </c>
      <c r="L31" s="21" t="s">
        <v>12</v>
      </c>
      <c r="N31" s="53">
        <f t="shared" si="0"/>
        <v>46580</v>
      </c>
      <c r="O31" s="54">
        <v>3.6900000000000002E-2</v>
      </c>
    </row>
    <row r="32" spans="2:18" x14ac:dyDescent="0.2">
      <c r="B32" s="36" t="s">
        <v>36</v>
      </c>
      <c r="C32" s="37" cm="1">
        <f t="array" ref="C32">[1]!xlb_flatten([1]!xlb_run_ql_function($C$3,"volatility_from_surface",[1]!xlb_bricks("surface",$C$14,"expiry_date",$C$9,"strike",$C$11,,,,,,,,,,,FALSE),FALSE))</f>
        <v>0.2</v>
      </c>
      <c r="E32" s="29"/>
      <c r="F32" s="10" t="s">
        <v>57</v>
      </c>
      <c r="G32" s="13">
        <v>65</v>
      </c>
      <c r="N32" s="53">
        <f t="shared" si="0"/>
        <v>46611</v>
      </c>
      <c r="O32" s="54">
        <v>3.7100000000000001E-2</v>
      </c>
    </row>
    <row r="33" spans="2:27" x14ac:dyDescent="0.2">
      <c r="B33" s="34" t="s">
        <v>37</v>
      </c>
      <c r="C33" s="38" cm="1">
        <f t="array" ref="C33">[1]!xlb_flatten([1]!xlb_run_ql_function($C$3,"year_fraction",[1]!xlb_bricks("day_counter",$L$8,"start_date",$C$8,"end_date",$C$9,,,,,,,,,,,FALSE),FALSE))</f>
        <v>0.98630136986301375</v>
      </c>
      <c r="F33" s="10" t="s">
        <v>58</v>
      </c>
      <c r="G33" s="13">
        <v>60</v>
      </c>
      <c r="K33" s="16" t="s">
        <v>13</v>
      </c>
      <c r="L33" s="17" t="str" cm="1">
        <f t="array" ref="L33">[1]!xlb_run_ql_function($C$3,"black_constant_vol",K27)</f>
        <v>[OptionsPricer.xlsx]main!$L$33:0</v>
      </c>
      <c r="N33" s="53">
        <f t="shared" si="0"/>
        <v>46642</v>
      </c>
      <c r="O33" s="54">
        <v>3.73E-2</v>
      </c>
    </row>
    <row r="34" spans="2:27" x14ac:dyDescent="0.2">
      <c r="F34" s="10" t="s">
        <v>17</v>
      </c>
      <c r="G34" s="13" t="s">
        <v>18</v>
      </c>
      <c r="N34" s="55">
        <f>EDATE(N33,1)</f>
        <v>46672</v>
      </c>
      <c r="O34" s="56">
        <v>3.7499999999999999E-2</v>
      </c>
    </row>
    <row r="35" spans="2:27" x14ac:dyDescent="0.2">
      <c r="F35" s="10" t="s">
        <v>5</v>
      </c>
      <c r="G35" s="20" t="str">
        <f>$L$23</f>
        <v>[OptionsPricer.xlsx]main!$L$23:0</v>
      </c>
    </row>
    <row r="36" spans="2:27" x14ac:dyDescent="0.2">
      <c r="B36" s="70" t="s">
        <v>31</v>
      </c>
      <c r="C36" s="50">
        <f>(LN($C$10/$C$11)+($C$32^2/2)*$C$33)/($C$32*SQRT($C$33))</f>
        <v>-0.30367050864702039</v>
      </c>
      <c r="E36" s="3"/>
      <c r="F36" s="10" t="s">
        <v>2</v>
      </c>
      <c r="G36" s="20" t="str">
        <f>$L$11</f>
        <v>[OptionsPricer.xlsx]main!$L$11:0</v>
      </c>
    </row>
    <row r="37" spans="2:27" ht="13.5" customHeight="1" x14ac:dyDescent="0.25">
      <c r="B37" s="49" t="s">
        <v>32</v>
      </c>
      <c r="C37" s="48">
        <f>$C$36-$C$32*SQRT($C$33)</f>
        <v>-0.50229592191158867</v>
      </c>
      <c r="F37" s="14" t="s">
        <v>25</v>
      </c>
      <c r="G37" s="21">
        <v>10</v>
      </c>
      <c r="L37" s="112" t="s">
        <v>48</v>
      </c>
      <c r="M37" s="113"/>
    </row>
    <row r="38" spans="2:27" ht="11.25" customHeight="1" x14ac:dyDescent="0.2">
      <c r="M38" s="3">
        <f>C8+1</f>
        <v>45790.869145046294</v>
      </c>
      <c r="N38" s="3">
        <f>EOMONTH(M38,1)</f>
        <v>45838</v>
      </c>
      <c r="O38" s="3">
        <f>EOMONTH(N38,1)</f>
        <v>45869</v>
      </c>
      <c r="P38" s="3">
        <f t="shared" ref="P38:AA38" si="1">EOMONTH(O38,1)</f>
        <v>45900</v>
      </c>
      <c r="Q38" s="3">
        <f t="shared" si="1"/>
        <v>45930</v>
      </c>
      <c r="R38" s="3">
        <f t="shared" si="1"/>
        <v>45961</v>
      </c>
      <c r="S38" s="3">
        <f t="shared" si="1"/>
        <v>45991</v>
      </c>
      <c r="T38" s="3">
        <f t="shared" si="1"/>
        <v>46022</v>
      </c>
      <c r="U38" s="3">
        <f t="shared" si="1"/>
        <v>46053</v>
      </c>
      <c r="V38" s="3">
        <f t="shared" si="1"/>
        <v>46081</v>
      </c>
      <c r="W38" s="3">
        <f t="shared" si="1"/>
        <v>46112</v>
      </c>
      <c r="X38" s="3">
        <f t="shared" si="1"/>
        <v>46142</v>
      </c>
      <c r="Y38" s="3">
        <f t="shared" si="1"/>
        <v>46173</v>
      </c>
      <c r="Z38" s="3">
        <f t="shared" si="1"/>
        <v>46203</v>
      </c>
      <c r="AA38" s="45">
        <f t="shared" si="1"/>
        <v>46234</v>
      </c>
    </row>
    <row r="39" spans="2:27" x14ac:dyDescent="0.2">
      <c r="C39" s="7" t="s">
        <v>9</v>
      </c>
      <c r="D39" s="7" t="s">
        <v>33</v>
      </c>
      <c r="F39" s="16" t="s">
        <v>13</v>
      </c>
      <c r="G39" s="23" t="str" cm="1">
        <f t="array" ref="G39">[1]!xlb_run_ql_function($C$3,"comdty_vanilla_option_collar",F28)</f>
        <v>[OptionsPricer.xlsx]main!$G$39:0</v>
      </c>
      <c r="K39" s="7"/>
      <c r="L39" s="1">
        <v>5</v>
      </c>
      <c r="M39" s="57">
        <v>0.25230000000000002</v>
      </c>
      <c r="N39" s="58">
        <v>0.25559999999999999</v>
      </c>
      <c r="O39" s="58">
        <v>0.26519999999999999</v>
      </c>
      <c r="P39" s="58">
        <v>0.27239999999999998</v>
      </c>
      <c r="Q39" s="58">
        <v>0.27429999999999999</v>
      </c>
      <c r="R39" s="58">
        <v>0.28199999999999997</v>
      </c>
      <c r="S39" s="58">
        <v>0.28589999999999999</v>
      </c>
      <c r="T39" s="58">
        <v>0.29530000000000001</v>
      </c>
      <c r="U39" s="58">
        <v>0.29799999999999999</v>
      </c>
      <c r="V39" s="58">
        <v>0.29849999999999999</v>
      </c>
      <c r="W39" s="58">
        <v>0.30420000000000003</v>
      </c>
      <c r="X39" s="58">
        <v>0.308</v>
      </c>
      <c r="Y39" s="58">
        <v>0.3145</v>
      </c>
      <c r="Z39" s="58">
        <v>0.31309999999999999</v>
      </c>
      <c r="AA39" s="59">
        <v>0.31379999999999997</v>
      </c>
    </row>
    <row r="40" spans="2:27" x14ac:dyDescent="0.2">
      <c r="B40" s="71" t="s">
        <v>19</v>
      </c>
      <c r="C40" s="31">
        <f>EXP(-$C$31*$C$33)*($C$10*_xlfn.NORM.S.DIST($C$36,TRUE)-$C$11*_xlfn.NORM.S.DIST($C$37, TRUE))</f>
        <v>2.7263777672298444</v>
      </c>
      <c r="D40" s="32">
        <f>EXP(-$C$31*$C$33)*($C$11*_xlfn.NORM.S.DIST(-$C$37, TRUE)-$C$10*_xlfn.NORM.S.DIST(-$C$36, TRUE))</f>
        <v>7.5281340731212012</v>
      </c>
      <c r="L40" s="1">
        <f t="shared" ref="L40:L62" si="2">+L39+5</f>
        <v>10</v>
      </c>
      <c r="M40" s="60">
        <v>0.24390000000000001</v>
      </c>
      <c r="N40" s="46">
        <v>0.24829999999999999</v>
      </c>
      <c r="O40" s="46">
        <v>0.25609999999999999</v>
      </c>
      <c r="P40" s="46">
        <v>0.26250000000000001</v>
      </c>
      <c r="Q40" s="46">
        <v>0.26780000000000004</v>
      </c>
      <c r="R40" s="46">
        <v>0.27110000000000001</v>
      </c>
      <c r="S40" s="46">
        <v>0.27949999999999997</v>
      </c>
      <c r="T40" s="46">
        <v>0.2838</v>
      </c>
      <c r="U40" s="46">
        <v>0.28739999999999999</v>
      </c>
      <c r="V40" s="46">
        <v>0.29370000000000002</v>
      </c>
      <c r="W40" s="46">
        <v>0.29570000000000002</v>
      </c>
      <c r="X40" s="46">
        <v>0.30020000000000002</v>
      </c>
      <c r="Y40" s="46">
        <v>0.3054</v>
      </c>
      <c r="Z40" s="46">
        <v>0.30320000000000003</v>
      </c>
      <c r="AA40" s="61">
        <v>0.30930000000000002</v>
      </c>
    </row>
    <row r="41" spans="2:27" x14ac:dyDescent="0.2">
      <c r="B41" s="72" t="s">
        <v>20</v>
      </c>
      <c r="C41" s="77">
        <f>EXP(-$C$31*$C$33)*_xlfn.NORM.S.DIST($C$36,TRUE)</f>
        <v>0.36559560700337873</v>
      </c>
      <c r="D41" s="78">
        <f>EXP(-$C$31*$C$33)*(_xlfn.NORM.S.DIST($C$36,TRUE)-1)</f>
        <v>-0.59475565417489196</v>
      </c>
      <c r="F41" s="1" t="str" cm="1">
        <f t="array" ref="F41:I47">[1]!xlb_flatten(G39)</f>
        <v/>
      </c>
      <c r="G41" s="7" t="str">
        <v>CALL</v>
      </c>
      <c r="H41" s="7" t="str">
        <v>PUT</v>
      </c>
      <c r="I41" s="7" t="str">
        <v>COLLAR</v>
      </c>
      <c r="L41" s="1">
        <f t="shared" si="2"/>
        <v>15</v>
      </c>
      <c r="M41" s="60">
        <v>0.23780000000000001</v>
      </c>
      <c r="N41" s="46">
        <v>0.24179999999999999</v>
      </c>
      <c r="O41" s="46">
        <v>0.2455</v>
      </c>
      <c r="P41" s="46">
        <v>0.25379999999999997</v>
      </c>
      <c r="Q41" s="46">
        <v>0.25940000000000002</v>
      </c>
      <c r="R41" s="46">
        <v>0.26340000000000002</v>
      </c>
      <c r="S41" s="46">
        <v>0.27050000000000002</v>
      </c>
      <c r="T41" s="46">
        <v>0.27550000000000002</v>
      </c>
      <c r="U41" s="46">
        <v>0.28260000000000002</v>
      </c>
      <c r="V41" s="46">
        <v>0.28600000000000003</v>
      </c>
      <c r="W41" s="46">
        <v>0.29100000000000004</v>
      </c>
      <c r="X41" s="46">
        <v>0.29559999999999997</v>
      </c>
      <c r="Y41" s="46">
        <v>0.2984</v>
      </c>
      <c r="Z41" s="46">
        <v>0.30149999999999999</v>
      </c>
      <c r="AA41" s="61">
        <v>0.30199999999999999</v>
      </c>
    </row>
    <row r="42" spans="2:27" x14ac:dyDescent="0.2">
      <c r="B42" s="72" t="s">
        <v>21</v>
      </c>
      <c r="C42" s="77">
        <f>EXP(-$C$31*$C$33)*(_xlfn.NORM.S.DIST($C$36,FALSE))/($C$10*$C$32*SQRT($C$33))</f>
        <v>3.0699387515565842E-2</v>
      </c>
      <c r="D42" s="78">
        <f>EXP(-$C$31*$C$33)*(_xlfn.NORM.S.DIST($C$36,FALSE))/($C$10*$C$32*SQRT($C$33))</f>
        <v>3.0699387515565842E-2</v>
      </c>
      <c r="F42" s="67" t="str">
        <v>price</v>
      </c>
      <c r="G42" s="84">
        <v>3.1023610464604658</v>
      </c>
      <c r="H42" s="84">
        <v>5.1221543159612972</v>
      </c>
      <c r="I42" s="26">
        <v>2.0197932695008314</v>
      </c>
      <c r="L42" s="1">
        <f t="shared" si="2"/>
        <v>20</v>
      </c>
      <c r="M42" s="60">
        <v>0.2296</v>
      </c>
      <c r="N42" s="46">
        <v>0.23180000000000001</v>
      </c>
      <c r="O42" s="46">
        <v>0.2402</v>
      </c>
      <c r="P42" s="46">
        <v>0.24690000000000001</v>
      </c>
      <c r="Q42" s="46">
        <v>0.25009999999999999</v>
      </c>
      <c r="R42" s="46">
        <v>0.25800000000000001</v>
      </c>
      <c r="S42" s="46">
        <v>0.26300000000000001</v>
      </c>
      <c r="T42" s="46">
        <v>0.26569999999999999</v>
      </c>
      <c r="U42" s="46">
        <v>0.27429999999999999</v>
      </c>
      <c r="V42" s="46">
        <v>0.27729999999999999</v>
      </c>
      <c r="W42" s="46">
        <v>0.2823</v>
      </c>
      <c r="X42" s="46">
        <v>0.28610000000000002</v>
      </c>
      <c r="Y42" s="46">
        <v>0.29359999999999997</v>
      </c>
      <c r="Z42" s="46">
        <v>0.29410000000000003</v>
      </c>
      <c r="AA42" s="61">
        <v>0.29549999999999998</v>
      </c>
    </row>
    <row r="43" spans="2:27" x14ac:dyDescent="0.2">
      <c r="B43" s="72" t="s">
        <v>22</v>
      </c>
      <c r="C43" s="77">
        <f>-($C$10*EXP(-$C$31*$C$33)*_xlfn.NORM.S.DIST($C$36,FALSE)*$C$32)/(2*SQRT(C33))+C31*C10*EXP(-$C$31*$C$33)*_xlfn.NORM.S.DIST($C$36,TRUE)-C31*C11*EXP(-$C$31*$C$33)*_xlfn.NORM.S.DIST($C$37,TRUE)</f>
        <v>-2.0985251863990748</v>
      </c>
      <c r="D43" s="78">
        <f>-($C$10*EXP(-$C$31*$C$33)*_xlfn.NORM.S.DIST($C$36,FALSE)*$C$32)/(2*SQRT(C33))-C31*C10*EXP(-$C$31*$C$33)*_xlfn.NORM.S.DIST(-$C$36,TRUE)+C31*C11*EXP(-$C$31*$C$33)*_xlfn.NORM.S.DIST(-$C$37,TRUE)</f>
        <v>-1.9015664794797842</v>
      </c>
      <c r="F43" s="68" t="str">
        <v>delta</v>
      </c>
      <c r="G43" s="77">
        <v>0.380436851903099</v>
      </c>
      <c r="H43" s="77">
        <v>-0.43749101128945789</v>
      </c>
      <c r="I43" s="81">
        <v>-0.81792786319255684</v>
      </c>
      <c r="L43" s="1">
        <f t="shared" si="2"/>
        <v>25</v>
      </c>
      <c r="M43" s="60">
        <v>0.22320000000000001</v>
      </c>
      <c r="N43" s="46">
        <v>0.22409999999999999</v>
      </c>
      <c r="O43" s="46">
        <v>0.23010000000000003</v>
      </c>
      <c r="P43" s="46">
        <v>0.23899999999999999</v>
      </c>
      <c r="Q43" s="46">
        <v>0.24239999999999998</v>
      </c>
      <c r="R43" s="46">
        <v>0.249</v>
      </c>
      <c r="S43" s="46">
        <v>0.25259999999999999</v>
      </c>
      <c r="T43" s="46">
        <v>0.25719999999999998</v>
      </c>
      <c r="U43" s="46">
        <v>0.2641</v>
      </c>
      <c r="V43" s="46">
        <v>0.26839999999999997</v>
      </c>
      <c r="W43" s="46">
        <v>0.27300000000000002</v>
      </c>
      <c r="X43" s="46">
        <v>0.27910000000000001</v>
      </c>
      <c r="Y43" s="46">
        <v>0.28420000000000001</v>
      </c>
      <c r="Z43" s="46">
        <v>0.2868</v>
      </c>
      <c r="AA43" s="61">
        <v>0.28809999999999997</v>
      </c>
    </row>
    <row r="44" spans="2:27" x14ac:dyDescent="0.2">
      <c r="B44" s="72" t="s">
        <v>23</v>
      </c>
      <c r="C44" s="77">
        <f>$C$10*EXP(-$C$31*$C$33)*(_xlfn.NORM.S.DIST($C$36,FALSE))*SQRT($C$33)</f>
        <v>21.80077053160182</v>
      </c>
      <c r="D44" s="78">
        <f>$C$10*EXP(-$C$31*$C$33)*(_xlfn.NORM.S.DIST($C$36,FALSE))*SQRT($C$33)</f>
        <v>21.80077053160182</v>
      </c>
      <c r="F44" s="68" t="str">
        <v>gamma</v>
      </c>
      <c r="G44" s="77">
        <v>2.8600810764465853E-2</v>
      </c>
      <c r="H44" s="77">
        <v>2.8419712575971545E-2</v>
      </c>
      <c r="I44" s="81">
        <v>-1.8109818849430803E-4</v>
      </c>
      <c r="L44" s="1">
        <f t="shared" si="2"/>
        <v>30</v>
      </c>
      <c r="M44" s="60">
        <v>0.21510000000000001</v>
      </c>
      <c r="N44" s="46">
        <v>0.2155</v>
      </c>
      <c r="O44" s="46">
        <v>0.22210000000000002</v>
      </c>
      <c r="P44" s="46">
        <v>0.23010000000000003</v>
      </c>
      <c r="Q44" s="46">
        <v>0.23370000000000002</v>
      </c>
      <c r="R44" s="46">
        <v>0.24129999999999999</v>
      </c>
      <c r="S44" s="46">
        <v>0.24579999999999999</v>
      </c>
      <c r="T44" s="46">
        <v>0.25059999999999999</v>
      </c>
      <c r="U44" s="46">
        <v>0.2576</v>
      </c>
      <c r="V44" s="46">
        <v>0.26150000000000001</v>
      </c>
      <c r="W44" s="46">
        <v>0.26429999999999998</v>
      </c>
      <c r="X44" s="46">
        <v>0.27100000000000002</v>
      </c>
      <c r="Y44" s="46">
        <v>0.27589999999999998</v>
      </c>
      <c r="Z44" s="46">
        <v>0.27960000000000002</v>
      </c>
      <c r="AA44" s="61">
        <v>0.2823</v>
      </c>
    </row>
    <row r="45" spans="2:27" x14ac:dyDescent="0.2">
      <c r="B45" s="73" t="s">
        <v>24</v>
      </c>
      <c r="C45" s="79">
        <f>$C$11*$C$33*EXP(-$C$31*$C$33)*_xlfn.NORM.S.DIST($C$37,TRUE)</f>
        <v>18.946216753617087</v>
      </c>
      <c r="D45" s="80">
        <f>-$C$11*$C$33*EXP(-$C$31*$C$33)*_xlfn.NORM.S.DIST(-C37,TRUE)</f>
        <v>-42.621507935619988</v>
      </c>
      <c r="F45" s="68" t="str">
        <v>theta</v>
      </c>
      <c r="G45" s="77">
        <v>-2.3001645357610845</v>
      </c>
      <c r="H45" s="77">
        <v>-2.3757763802128355</v>
      </c>
      <c r="I45" s="81">
        <v>-7.5611844451751065E-2</v>
      </c>
      <c r="L45" s="1">
        <f t="shared" si="2"/>
        <v>35</v>
      </c>
      <c r="M45" s="60">
        <v>0.20850000000000002</v>
      </c>
      <c r="N45" s="46">
        <v>0.2089</v>
      </c>
      <c r="O45" s="46">
        <v>0.2147</v>
      </c>
      <c r="P45" s="46">
        <v>0.22070000000000001</v>
      </c>
      <c r="Q45" s="46">
        <v>0.22539999999999999</v>
      </c>
      <c r="R45" s="46">
        <v>0.2324</v>
      </c>
      <c r="S45" s="46">
        <v>0.23600000000000002</v>
      </c>
      <c r="T45" s="46">
        <v>0.24109999999999998</v>
      </c>
      <c r="U45" s="46">
        <v>0.2482</v>
      </c>
      <c r="V45" s="46">
        <v>0.25340000000000001</v>
      </c>
      <c r="W45" s="46">
        <v>0.25609999999999999</v>
      </c>
      <c r="X45" s="46">
        <v>0.26280000000000003</v>
      </c>
      <c r="Y45" s="46">
        <v>0.26700000000000002</v>
      </c>
      <c r="Z45" s="46">
        <v>0.26940000000000003</v>
      </c>
      <c r="AA45" s="61">
        <v>0.2742</v>
      </c>
    </row>
    <row r="46" spans="2:27" ht="13.5" customHeight="1" x14ac:dyDescent="0.2">
      <c r="C46" s="28"/>
      <c r="D46" s="28"/>
      <c r="F46" s="68" t="str">
        <v>vega</v>
      </c>
      <c r="G46" s="77">
        <v>22.051456654384591</v>
      </c>
      <c r="H46" s="77">
        <v>22.687658313576161</v>
      </c>
      <c r="I46" s="81">
        <v>0.63620165919157046</v>
      </c>
      <c r="L46" s="1">
        <f t="shared" si="2"/>
        <v>40</v>
      </c>
      <c r="M46" s="60">
        <v>0.2024</v>
      </c>
      <c r="N46" s="46">
        <v>0.2021</v>
      </c>
      <c r="O46" s="46">
        <v>0.20530000000000001</v>
      </c>
      <c r="P46" s="46">
        <v>0.21280000000000002</v>
      </c>
      <c r="Q46" s="46">
        <v>0.21690000000000001</v>
      </c>
      <c r="R46" s="46">
        <v>0.22440000000000002</v>
      </c>
      <c r="S46" s="46">
        <v>0.22889999999999999</v>
      </c>
      <c r="T46" s="46">
        <v>0.23399999999999999</v>
      </c>
      <c r="U46" s="46">
        <v>0.24050000000000002</v>
      </c>
      <c r="V46" s="46">
        <v>0.24309999999999998</v>
      </c>
      <c r="W46" s="46">
        <v>0.24780000000000002</v>
      </c>
      <c r="X46" s="46">
        <v>0.25519999999999998</v>
      </c>
      <c r="Y46" s="46">
        <v>0.25819999999999999</v>
      </c>
      <c r="Z46" s="46">
        <v>0.26219999999999999</v>
      </c>
      <c r="AA46" s="61">
        <v>0.26440000000000002</v>
      </c>
    </row>
    <row r="47" spans="2:27" x14ac:dyDescent="0.2">
      <c r="B47" s="42" t="s">
        <v>34</v>
      </c>
      <c r="C47" s="43">
        <f>$C$10/(EXP($C$32*SQRT($C$33)*$C$36-(($C$32^2)/2)*$C$33))</f>
        <v>65</v>
      </c>
      <c r="F47" s="69" t="str">
        <v>rho</v>
      </c>
      <c r="G47" s="85">
        <v>19.453660340770341</v>
      </c>
      <c r="H47" s="85">
        <v>-30.941866842735223</v>
      </c>
      <c r="I47" s="82">
        <v>-50.395527183505564</v>
      </c>
      <c r="L47" s="1">
        <f t="shared" si="2"/>
        <v>45</v>
      </c>
      <c r="M47" s="60">
        <v>0.1953</v>
      </c>
      <c r="N47" s="46">
        <v>0.19440000000000002</v>
      </c>
      <c r="O47" s="46">
        <v>0.19850000000000001</v>
      </c>
      <c r="P47" s="46">
        <v>0.20559999999999998</v>
      </c>
      <c r="Q47" s="46">
        <v>0.20949999999999999</v>
      </c>
      <c r="R47" s="46">
        <v>0.21539999999999998</v>
      </c>
      <c r="S47" s="46">
        <v>0.22</v>
      </c>
      <c r="T47" s="46">
        <v>0.22670000000000001</v>
      </c>
      <c r="U47" s="46">
        <v>0.2316</v>
      </c>
      <c r="V47" s="46">
        <v>0.23569999999999999</v>
      </c>
      <c r="W47" s="46">
        <v>0.24010000000000001</v>
      </c>
      <c r="X47" s="46">
        <v>0.247</v>
      </c>
      <c r="Y47" s="46">
        <v>0.2495</v>
      </c>
      <c r="Z47" s="46">
        <v>0.25280000000000002</v>
      </c>
      <c r="AA47" s="61">
        <v>0.25700000000000001</v>
      </c>
    </row>
    <row r="48" spans="2:27" x14ac:dyDescent="0.2">
      <c r="L48" s="1">
        <f t="shared" si="2"/>
        <v>50</v>
      </c>
      <c r="M48" s="60">
        <v>0.1898</v>
      </c>
      <c r="N48" s="46">
        <v>0.18890000000000001</v>
      </c>
      <c r="O48" s="46">
        <v>0.19089999999999999</v>
      </c>
      <c r="P48" s="46">
        <v>0.19829999999999998</v>
      </c>
      <c r="Q48" s="46">
        <v>0.20199999999999999</v>
      </c>
      <c r="R48" s="46">
        <v>0.20780000000000001</v>
      </c>
      <c r="S48" s="46">
        <v>0.21249999999999999</v>
      </c>
      <c r="T48" s="46">
        <v>0.21809999999999999</v>
      </c>
      <c r="U48" s="46">
        <v>0.223</v>
      </c>
      <c r="V48" s="46">
        <v>0.22820000000000001</v>
      </c>
      <c r="W48" s="46">
        <v>0.23319999999999999</v>
      </c>
      <c r="X48" s="46">
        <v>0.23800000000000002</v>
      </c>
      <c r="Y48" s="46">
        <v>0.24179999999999999</v>
      </c>
      <c r="Z48" s="46">
        <v>0.2465</v>
      </c>
      <c r="AA48" s="61">
        <v>0.24969999999999998</v>
      </c>
    </row>
    <row r="49" spans="2:27" x14ac:dyDescent="0.2">
      <c r="B49" s="4" t="s">
        <v>70</v>
      </c>
      <c r="L49" s="1">
        <f t="shared" si="2"/>
        <v>55</v>
      </c>
      <c r="M49" s="60">
        <v>0.18539999999999998</v>
      </c>
      <c r="N49" s="46">
        <v>0.18289999999999998</v>
      </c>
      <c r="O49" s="46">
        <v>0.1852</v>
      </c>
      <c r="P49" s="46">
        <v>0.191</v>
      </c>
      <c r="Q49" s="46">
        <v>0.1943</v>
      </c>
      <c r="R49" s="46">
        <v>0.20120000000000002</v>
      </c>
      <c r="S49" s="46">
        <v>0.20399999999999999</v>
      </c>
      <c r="T49" s="46">
        <v>0.21059999999999998</v>
      </c>
      <c r="U49" s="46">
        <v>0.21679999999999999</v>
      </c>
      <c r="V49" s="46">
        <v>0.22030000000000002</v>
      </c>
      <c r="W49" s="46">
        <v>0.22450000000000001</v>
      </c>
      <c r="X49" s="46">
        <v>0.23170000000000002</v>
      </c>
      <c r="Y49" s="46">
        <v>0.23350000000000001</v>
      </c>
      <c r="Z49" s="46">
        <v>0.23860000000000001</v>
      </c>
      <c r="AA49" s="61">
        <v>0.24239999999999998</v>
      </c>
    </row>
    <row r="50" spans="2:27" x14ac:dyDescent="0.2">
      <c r="B50" s="5" t="str" cm="1">
        <f t="array" ref="B50">[1]!xlb_grid(B51:C57)</f>
        <v>[OptionsPricer.xlsx]main!$B$50:0</v>
      </c>
      <c r="F50" s="4" t="s">
        <v>30</v>
      </c>
      <c r="L50" s="1">
        <f t="shared" si="2"/>
        <v>60</v>
      </c>
      <c r="M50" s="60">
        <v>0.18010000000000001</v>
      </c>
      <c r="N50" s="46">
        <v>0.17809999999999998</v>
      </c>
      <c r="O50" s="46">
        <v>0.18010000000000001</v>
      </c>
      <c r="P50" s="46">
        <v>0.18510000000000001</v>
      </c>
      <c r="Q50" s="46">
        <v>0.18859999999999999</v>
      </c>
      <c r="R50" s="46">
        <v>0.19390000000000002</v>
      </c>
      <c r="S50" s="46">
        <v>0.1973</v>
      </c>
      <c r="T50" s="46">
        <v>0.20420000000000002</v>
      </c>
      <c r="U50" s="46">
        <v>0.20910000000000001</v>
      </c>
      <c r="V50" s="46">
        <v>0.21359999999999998</v>
      </c>
      <c r="W50" s="46">
        <v>0.21820000000000001</v>
      </c>
      <c r="X50" s="46">
        <v>0.2243</v>
      </c>
      <c r="Y50" s="46">
        <v>0.22649999999999998</v>
      </c>
      <c r="Z50" s="46">
        <v>0.2293</v>
      </c>
      <c r="AA50" s="61">
        <v>0.23600000000000002</v>
      </c>
    </row>
    <row r="51" spans="2:27" x14ac:dyDescent="0.2">
      <c r="B51" s="8" t="s">
        <v>4</v>
      </c>
      <c r="C51" s="22">
        <f>$C$4</f>
        <v>45789.869145046294</v>
      </c>
      <c r="F51" s="5" t="str" cm="1">
        <f t="array" ref="F51">[1]!xlb_grid(F52:G62)</f>
        <v>[OptionsPricer.xlsx]main!$F$51:0</v>
      </c>
      <c r="L51" s="1">
        <f t="shared" si="2"/>
        <v>65</v>
      </c>
      <c r="M51" s="60">
        <v>0.1769</v>
      </c>
      <c r="N51" s="46">
        <v>0.17420000000000002</v>
      </c>
      <c r="O51" s="46">
        <v>0.17469999999999999</v>
      </c>
      <c r="P51" s="46">
        <v>0.1802</v>
      </c>
      <c r="Q51" s="46">
        <v>0.1825</v>
      </c>
      <c r="R51" s="46">
        <v>0.18859999999999999</v>
      </c>
      <c r="S51" s="46">
        <v>0.19219999999999998</v>
      </c>
      <c r="T51" s="46">
        <v>0.19789999999999999</v>
      </c>
      <c r="U51" s="46">
        <v>0.20300000000000001</v>
      </c>
      <c r="V51" s="46">
        <v>0.20739999999999997</v>
      </c>
      <c r="W51" s="46">
        <v>0.21030000000000001</v>
      </c>
      <c r="X51" s="46">
        <v>0.21609999999999999</v>
      </c>
      <c r="Y51" s="46">
        <v>0.22039999999999998</v>
      </c>
      <c r="Z51" s="46">
        <v>0.2235</v>
      </c>
      <c r="AA51" s="61">
        <v>0.22949999999999998</v>
      </c>
    </row>
    <row r="52" spans="2:27" x14ac:dyDescent="0.2">
      <c r="B52" s="10" t="s">
        <v>6</v>
      </c>
      <c r="C52" s="19">
        <f>C9</f>
        <v>46149.869145046294</v>
      </c>
      <c r="F52" s="8" t="s">
        <v>4</v>
      </c>
      <c r="G52" s="18">
        <f>$C$4</f>
        <v>45789.869145046294</v>
      </c>
      <c r="L52" s="1">
        <f t="shared" si="2"/>
        <v>70</v>
      </c>
      <c r="M52" s="60">
        <v>0.17469999999999999</v>
      </c>
      <c r="N52" s="46">
        <v>0.1716</v>
      </c>
      <c r="O52" s="46">
        <v>0.17199999999999999</v>
      </c>
      <c r="P52" s="46">
        <v>0.17579999999999998</v>
      </c>
      <c r="Q52" s="46">
        <v>0.1787</v>
      </c>
      <c r="R52" s="46">
        <v>0.18350000000000002</v>
      </c>
      <c r="S52" s="46">
        <v>0.18659999999999999</v>
      </c>
      <c r="T52" s="46">
        <v>0.1928</v>
      </c>
      <c r="U52" s="46">
        <v>0.1986</v>
      </c>
      <c r="V52" s="46">
        <v>0.20129999999999998</v>
      </c>
      <c r="W52" s="46">
        <v>0.2054</v>
      </c>
      <c r="X52" s="46">
        <v>0.2104</v>
      </c>
      <c r="Y52" s="46">
        <v>0.21559999999999999</v>
      </c>
      <c r="Z52" s="46">
        <v>0.21829999999999999</v>
      </c>
      <c r="AA52" s="61">
        <v>0.22210000000000002</v>
      </c>
    </row>
    <row r="53" spans="2:27" x14ac:dyDescent="0.2">
      <c r="B53" s="10" t="s">
        <v>41</v>
      </c>
      <c r="C53" s="13">
        <v>60</v>
      </c>
      <c r="F53" s="10" t="s">
        <v>6</v>
      </c>
      <c r="G53" s="19">
        <f>G52+360</f>
        <v>46149.869145046294</v>
      </c>
      <c r="L53" s="1">
        <f t="shared" si="2"/>
        <v>75</v>
      </c>
      <c r="M53" s="60">
        <v>0.1734</v>
      </c>
      <c r="N53" s="46">
        <v>0.16969999999999999</v>
      </c>
      <c r="O53" s="46">
        <v>0.16940000000000002</v>
      </c>
      <c r="P53" s="46">
        <v>0.17319999999999999</v>
      </c>
      <c r="Q53" s="46">
        <v>0.1754</v>
      </c>
      <c r="R53" s="46">
        <v>0.18010000000000001</v>
      </c>
      <c r="S53" s="46">
        <v>0.18289999999999998</v>
      </c>
      <c r="T53" s="46">
        <v>0.19010000000000002</v>
      </c>
      <c r="U53" s="46">
        <v>0.19370000000000001</v>
      </c>
      <c r="V53" s="46">
        <v>0.19690000000000002</v>
      </c>
      <c r="W53" s="46">
        <v>0.2014</v>
      </c>
      <c r="X53" s="46">
        <v>0.20660000000000001</v>
      </c>
      <c r="Y53" s="46">
        <v>0.2112</v>
      </c>
      <c r="Z53" s="46">
        <v>0.21359999999999998</v>
      </c>
      <c r="AA53" s="61">
        <v>0.21590000000000001</v>
      </c>
    </row>
    <row r="54" spans="2:27" x14ac:dyDescent="0.2">
      <c r="B54" s="10" t="s">
        <v>20</v>
      </c>
      <c r="C54" s="88">
        <f>C22</f>
        <v>0.36559560700337873</v>
      </c>
      <c r="F54" s="10" t="s">
        <v>41</v>
      </c>
      <c r="G54" s="13">
        <v>60</v>
      </c>
      <c r="L54" s="1">
        <f t="shared" si="2"/>
        <v>80</v>
      </c>
      <c r="M54" s="60">
        <v>0.17329999999999998</v>
      </c>
      <c r="N54" s="46">
        <v>0.16930000000000001</v>
      </c>
      <c r="O54" s="46">
        <v>0.16850000000000001</v>
      </c>
      <c r="P54" s="46">
        <v>0.17059999999999997</v>
      </c>
      <c r="Q54" s="46">
        <v>0.17319999999999999</v>
      </c>
      <c r="R54" s="46">
        <v>0.17699999999999999</v>
      </c>
      <c r="S54" s="46">
        <v>0.18100000000000002</v>
      </c>
      <c r="T54" s="46">
        <v>0.18679999999999999</v>
      </c>
      <c r="U54" s="46">
        <v>0.19030000000000002</v>
      </c>
      <c r="V54" s="46">
        <v>0.19539999999999999</v>
      </c>
      <c r="W54" s="46">
        <v>0.1986</v>
      </c>
      <c r="X54" s="46">
        <v>0.20319999999999999</v>
      </c>
      <c r="Y54" s="46">
        <v>0.20730000000000001</v>
      </c>
      <c r="Z54" s="46">
        <v>0.21109999999999998</v>
      </c>
      <c r="AA54" s="61">
        <v>0.21329999999999999</v>
      </c>
    </row>
    <row r="55" spans="2:27" x14ac:dyDescent="0.2">
      <c r="B55" s="10" t="s">
        <v>8</v>
      </c>
      <c r="C55" s="13" t="s">
        <v>9</v>
      </c>
      <c r="F55" s="10" t="s">
        <v>54</v>
      </c>
      <c r="G55" s="13">
        <v>55</v>
      </c>
      <c r="L55" s="1">
        <f t="shared" si="2"/>
        <v>85</v>
      </c>
      <c r="M55" s="60">
        <v>0.17499999999999999</v>
      </c>
      <c r="N55" s="46">
        <v>0.1704</v>
      </c>
      <c r="O55" s="46">
        <v>0.1686</v>
      </c>
      <c r="P55" s="46">
        <v>0.17010000000000003</v>
      </c>
      <c r="Q55" s="46">
        <v>0.1721</v>
      </c>
      <c r="R55" s="46">
        <v>0.17670000000000002</v>
      </c>
      <c r="S55" s="46">
        <v>0.17949999999999999</v>
      </c>
      <c r="T55" s="46">
        <v>0.18469999999999998</v>
      </c>
      <c r="U55" s="46">
        <v>0.18909999999999999</v>
      </c>
      <c r="V55" s="46">
        <v>0.19370000000000001</v>
      </c>
      <c r="W55" s="46">
        <v>0.19719999999999999</v>
      </c>
      <c r="X55" s="46">
        <v>0.2009</v>
      </c>
      <c r="Y55" s="46">
        <v>0.20430000000000001</v>
      </c>
      <c r="Z55" s="46">
        <v>0.2079</v>
      </c>
      <c r="AA55" s="61">
        <v>0.2107</v>
      </c>
    </row>
    <row r="56" spans="2:27" x14ac:dyDescent="0.2">
      <c r="B56" s="10" t="s">
        <v>5</v>
      </c>
      <c r="C56" s="20" t="str">
        <f>IF($D$14="SURFACE",$L$23,$L$33)</f>
        <v>[OptionsPricer.xlsx]main!$L$33:0</v>
      </c>
      <c r="F56" s="10" t="s">
        <v>55</v>
      </c>
      <c r="G56" s="13">
        <v>60</v>
      </c>
      <c r="L56" s="1">
        <f t="shared" si="2"/>
        <v>90</v>
      </c>
      <c r="M56" s="60">
        <v>0.17730000000000001</v>
      </c>
      <c r="N56" s="46">
        <v>0.17319999999999999</v>
      </c>
      <c r="O56" s="46">
        <v>0.17069999999999999</v>
      </c>
      <c r="P56" s="46">
        <v>0.17149999999999999</v>
      </c>
      <c r="Q56" s="46">
        <v>0.17370000000000002</v>
      </c>
      <c r="R56" s="46">
        <v>0.17710000000000001</v>
      </c>
      <c r="S56" s="46">
        <v>0.1807</v>
      </c>
      <c r="T56" s="46">
        <v>0.184</v>
      </c>
      <c r="U56" s="46">
        <v>0.18899999999999997</v>
      </c>
      <c r="V56" s="46">
        <v>0.1938</v>
      </c>
      <c r="W56" s="46">
        <v>0.1956</v>
      </c>
      <c r="X56" s="46">
        <v>0.2014</v>
      </c>
      <c r="Y56" s="46">
        <v>0.20300000000000001</v>
      </c>
      <c r="Z56" s="46">
        <v>0.2064</v>
      </c>
      <c r="AA56" s="61">
        <v>0.20929999999999999</v>
      </c>
    </row>
    <row r="57" spans="2:27" x14ac:dyDescent="0.2">
      <c r="B57" s="10" t="s">
        <v>2</v>
      </c>
      <c r="C57" s="20" t="str">
        <f>$L$11</f>
        <v>[OptionsPricer.xlsx]main!$L$11:0</v>
      </c>
      <c r="F57" s="10" t="s">
        <v>56</v>
      </c>
      <c r="G57" s="24">
        <v>65</v>
      </c>
      <c r="L57" s="1">
        <f t="shared" si="2"/>
        <v>95</v>
      </c>
      <c r="M57" s="60">
        <v>0.18100000000000002</v>
      </c>
      <c r="N57" s="46">
        <v>0.17749999999999999</v>
      </c>
      <c r="O57" s="46">
        <v>0.17309999999999998</v>
      </c>
      <c r="P57" s="46">
        <v>0.17460000000000001</v>
      </c>
      <c r="Q57" s="46">
        <v>0.17559999999999998</v>
      </c>
      <c r="R57" s="46">
        <v>0.17980000000000002</v>
      </c>
      <c r="S57" s="46">
        <v>0.18239999999999998</v>
      </c>
      <c r="T57" s="46">
        <v>0.18719999999999998</v>
      </c>
      <c r="U57" s="46">
        <v>0.19</v>
      </c>
      <c r="V57" s="46">
        <v>0.19399999999999998</v>
      </c>
      <c r="W57" s="46">
        <v>0.19789999999999999</v>
      </c>
      <c r="X57" s="46">
        <v>0.20219999999999999</v>
      </c>
      <c r="Y57" s="46">
        <v>0.20319999999999999</v>
      </c>
      <c r="Z57" s="46">
        <v>0.20610000000000001</v>
      </c>
      <c r="AA57" s="61">
        <v>0.20960000000000001</v>
      </c>
    </row>
    <row r="58" spans="2:27" x14ac:dyDescent="0.2">
      <c r="F58" s="10" t="s">
        <v>8</v>
      </c>
      <c r="G58" s="13" t="s">
        <v>9</v>
      </c>
      <c r="L58" s="1">
        <f t="shared" si="2"/>
        <v>100</v>
      </c>
      <c r="M58" s="60">
        <v>0.18690000000000001</v>
      </c>
      <c r="N58" s="46">
        <v>0.18210000000000001</v>
      </c>
      <c r="O58" s="46">
        <v>0.17710000000000001</v>
      </c>
      <c r="P58" s="46">
        <v>0.17800000000000002</v>
      </c>
      <c r="Q58" s="46">
        <v>0.1794</v>
      </c>
      <c r="R58" s="46">
        <v>0.18309999999999998</v>
      </c>
      <c r="S58" s="46">
        <v>0.18609999999999999</v>
      </c>
      <c r="T58" s="46">
        <v>0.19089999999999999</v>
      </c>
      <c r="U58" s="46">
        <v>0.1938</v>
      </c>
      <c r="V58" s="46">
        <v>0.19690000000000002</v>
      </c>
      <c r="W58" s="46">
        <v>0.19989999999999999</v>
      </c>
      <c r="X58" s="46">
        <v>0.20440000000000003</v>
      </c>
      <c r="Y58" s="46">
        <v>0.2069</v>
      </c>
      <c r="Z58" s="46">
        <v>0.2082</v>
      </c>
      <c r="AA58" s="61">
        <v>0.21179999999999999</v>
      </c>
    </row>
    <row r="59" spans="2:27" x14ac:dyDescent="0.2">
      <c r="B59" s="16" t="s">
        <v>13</v>
      </c>
      <c r="C59" s="23" t="str" cm="1">
        <f t="array" ref="C59">[1]!xlb_run_ql_function($C$3,"comdty_vanilla_option_delta",B50)</f>
        <v>[OptionsPricer.xlsx]main!$C$59:0</v>
      </c>
      <c r="F59" s="10" t="s">
        <v>17</v>
      </c>
      <c r="G59" s="13" t="s">
        <v>18</v>
      </c>
      <c r="L59" s="1">
        <f t="shared" si="2"/>
        <v>105</v>
      </c>
      <c r="M59" s="60">
        <v>0.1918</v>
      </c>
      <c r="N59" s="46">
        <v>0.18780000000000002</v>
      </c>
      <c r="O59" s="46">
        <v>0.1825</v>
      </c>
      <c r="P59" s="46">
        <v>0.18309999999999998</v>
      </c>
      <c r="Q59" s="46">
        <v>0.18460000000000001</v>
      </c>
      <c r="R59" s="46">
        <v>0.18789999999999998</v>
      </c>
      <c r="S59" s="46">
        <v>0.19059999999999999</v>
      </c>
      <c r="T59" s="46">
        <v>0.1946</v>
      </c>
      <c r="U59" s="46">
        <v>0.19800000000000001</v>
      </c>
      <c r="V59" s="46">
        <v>0.2006</v>
      </c>
      <c r="W59" s="46">
        <v>0.2041</v>
      </c>
      <c r="X59" s="46">
        <v>0.2072</v>
      </c>
      <c r="Y59" s="46">
        <v>0.21</v>
      </c>
      <c r="Z59" s="46">
        <v>0.21280000000000002</v>
      </c>
      <c r="AA59" s="61">
        <v>0.215</v>
      </c>
    </row>
    <row r="60" spans="2:27" x14ac:dyDescent="0.2">
      <c r="F60" s="10" t="s">
        <v>5</v>
      </c>
      <c r="G60" s="20" t="str">
        <f>$L$23</f>
        <v>[OptionsPricer.xlsx]main!$L$23:0</v>
      </c>
      <c r="L60" s="1">
        <f t="shared" si="2"/>
        <v>110</v>
      </c>
      <c r="M60" s="60">
        <v>0.1986</v>
      </c>
      <c r="N60" s="46">
        <v>0.1948</v>
      </c>
      <c r="O60" s="46">
        <v>0.18940000000000001</v>
      </c>
      <c r="P60" s="46">
        <v>0.1885</v>
      </c>
      <c r="Q60" s="46">
        <v>0.19089999999999999</v>
      </c>
      <c r="R60" s="46">
        <v>0.19370000000000001</v>
      </c>
      <c r="S60" s="46">
        <v>0.19699999999999998</v>
      </c>
      <c r="T60" s="46">
        <v>0.20039999999999999</v>
      </c>
      <c r="U60" s="46">
        <v>0.2041</v>
      </c>
      <c r="V60" s="46">
        <v>0.20569999999999999</v>
      </c>
      <c r="W60" s="46">
        <v>0.20910000000000001</v>
      </c>
      <c r="X60" s="46">
        <v>0.21210000000000001</v>
      </c>
      <c r="Y60" s="46">
        <v>0.21539999999999998</v>
      </c>
      <c r="Z60" s="46">
        <v>0.21850000000000003</v>
      </c>
      <c r="AA60" s="61">
        <v>0.22</v>
      </c>
    </row>
    <row r="61" spans="2:27" x14ac:dyDescent="0.2">
      <c r="B61" s="1" t="str" cm="1">
        <f t="array" ref="B61:C72">[1]!xlb_flatten(C59)</f>
        <v/>
      </c>
      <c r="C61" s="7" t="str">
        <v>CALL</v>
      </c>
      <c r="D61" s="7"/>
      <c r="F61" s="10" t="s">
        <v>2</v>
      </c>
      <c r="G61" s="20" t="str">
        <f>$L$11</f>
        <v>[OptionsPricer.xlsx]main!$L$11:0</v>
      </c>
      <c r="L61" s="1">
        <f t="shared" si="2"/>
        <v>115</v>
      </c>
      <c r="M61" s="60">
        <v>0.20480000000000001</v>
      </c>
      <c r="N61" s="46">
        <v>0.2016</v>
      </c>
      <c r="O61" s="46">
        <v>0.19570000000000001</v>
      </c>
      <c r="P61" s="46">
        <v>0.19570000000000001</v>
      </c>
      <c r="Q61" s="46">
        <v>0.1973</v>
      </c>
      <c r="R61" s="46">
        <v>0.19989999999999999</v>
      </c>
      <c r="S61" s="46">
        <v>0.20329999999999998</v>
      </c>
      <c r="T61" s="46">
        <v>0.2069</v>
      </c>
      <c r="U61" s="46">
        <v>0.21010000000000001</v>
      </c>
      <c r="V61" s="46">
        <v>0.21289999999999998</v>
      </c>
      <c r="W61" s="46">
        <v>0.2152</v>
      </c>
      <c r="X61" s="46">
        <v>0.21850000000000003</v>
      </c>
      <c r="Y61" s="46">
        <v>0.221</v>
      </c>
      <c r="Z61" s="46">
        <v>0.2243</v>
      </c>
      <c r="AA61" s="61">
        <v>0.22519999999999998</v>
      </c>
    </row>
    <row r="62" spans="2:27" x14ac:dyDescent="0.2">
      <c r="B62" s="67" t="str">
        <v>price</v>
      </c>
      <c r="C62" s="26">
        <v>2.7263777672298448</v>
      </c>
      <c r="E62" s="28"/>
      <c r="F62" s="14" t="s">
        <v>25</v>
      </c>
      <c r="G62" s="21">
        <v>100</v>
      </c>
      <c r="L62" s="1">
        <f t="shared" si="2"/>
        <v>120</v>
      </c>
      <c r="M62" s="62">
        <v>0.21340000000000001</v>
      </c>
      <c r="N62" s="63">
        <v>0.21010000000000001</v>
      </c>
      <c r="O62" s="63">
        <v>0.20350000000000001</v>
      </c>
      <c r="P62" s="63">
        <v>0.2029</v>
      </c>
      <c r="Q62" s="63">
        <v>0.2051</v>
      </c>
      <c r="R62" s="63">
        <v>0.20760000000000001</v>
      </c>
      <c r="S62" s="63">
        <v>0.2112</v>
      </c>
      <c r="T62" s="63">
        <v>0.21440000000000001</v>
      </c>
      <c r="U62" s="63">
        <v>0.21729999999999999</v>
      </c>
      <c r="V62" s="63">
        <v>0.22010000000000002</v>
      </c>
      <c r="W62" s="63">
        <v>0.2225</v>
      </c>
      <c r="X62" s="63">
        <v>0.22600000000000001</v>
      </c>
      <c r="Y62" s="63">
        <v>0.22800000000000001</v>
      </c>
      <c r="Z62" s="63">
        <v>0.23050000000000001</v>
      </c>
      <c r="AA62" s="64">
        <v>0.2324</v>
      </c>
    </row>
    <row r="63" spans="2:27" x14ac:dyDescent="0.2">
      <c r="B63" s="68" t="str">
        <v>delta</v>
      </c>
      <c r="C63" s="81">
        <v>0.36559560700337873</v>
      </c>
      <c r="E63" s="28"/>
    </row>
    <row r="64" spans="2:27" x14ac:dyDescent="0.2">
      <c r="B64" s="68" t="str">
        <v>gamma</v>
      </c>
      <c r="C64" s="81">
        <v>3.0699387515565817E-2</v>
      </c>
      <c r="E64" s="28"/>
      <c r="F64" s="16" t="s">
        <v>13</v>
      </c>
      <c r="G64" s="23" t="str" cm="1">
        <f t="array" ref="G64">[1]!xlb_run_ql_function($C$3,"comdty_vanilla_option_butterfly",F51)</f>
        <v>[OptionsPricer.xlsx]main!$G$64:0</v>
      </c>
    </row>
    <row r="65" spans="2:12" x14ac:dyDescent="0.2">
      <c r="B65" s="68" t="str">
        <v>theta</v>
      </c>
      <c r="C65" s="81">
        <v>-2.0985251863990744</v>
      </c>
      <c r="E65" s="28"/>
    </row>
    <row r="66" spans="2:12" x14ac:dyDescent="0.2">
      <c r="B66" s="68" t="str">
        <v>vega</v>
      </c>
      <c r="C66" s="81">
        <v>21.800770531601827</v>
      </c>
      <c r="E66" s="28"/>
      <c r="F66" s="1" t="str" cm="1">
        <f t="array" ref="F66:J72">[1]!xlb_flatten(G64)</f>
        <v/>
      </c>
      <c r="G66" s="7" t="str">
        <v>CALL_LOW</v>
      </c>
      <c r="H66" s="7" t="str">
        <v>CALL_MIDDLE</v>
      </c>
      <c r="I66" s="7" t="str">
        <v>CALL_HIGH</v>
      </c>
      <c r="J66" s="7" t="str">
        <v>CALL_BUTTERFLY</v>
      </c>
    </row>
    <row r="67" spans="2:12" x14ac:dyDescent="0.2">
      <c r="B67" s="74" t="str">
        <v>rho</v>
      </c>
      <c r="C67" s="82">
        <v>18.946216753617112</v>
      </c>
      <c r="E67" s="28"/>
      <c r="F67" s="67" t="str">
        <v>price</v>
      </c>
      <c r="G67" s="84">
        <v>7.8232105196197281</v>
      </c>
      <c r="H67" s="84">
        <v>5.1221543159612972</v>
      </c>
      <c r="I67" s="84">
        <v>3.1023610464604658</v>
      </c>
      <c r="J67" s="26">
        <v>0.68126293415759953</v>
      </c>
      <c r="K67" s="28"/>
      <c r="L67" s="28"/>
    </row>
    <row r="68" spans="2:12" x14ac:dyDescent="0.2">
      <c r="B68" s="75" t="str">
        <v>d1</v>
      </c>
      <c r="C68" s="83">
        <v>-0.30367050864702044</v>
      </c>
      <c r="F68" s="68" t="str">
        <v>delta</v>
      </c>
      <c r="G68" s="77">
        <v>0.66157245725884606</v>
      </c>
      <c r="H68" s="77">
        <v>0.52286024988881286</v>
      </c>
      <c r="I68" s="77">
        <v>0.380436851903099</v>
      </c>
      <c r="J68" s="81">
        <v>-3.7111906156806485E-3</v>
      </c>
    </row>
    <row r="69" spans="2:12" x14ac:dyDescent="0.2">
      <c r="B69" s="76" t="str">
        <v>riskfree_rate</v>
      </c>
      <c r="C69" s="39">
        <v>4.1018055555555571E-2</v>
      </c>
      <c r="F69" s="68" t="str">
        <v>gamma</v>
      </c>
      <c r="G69" s="77">
        <v>2.4531928573309849E-2</v>
      </c>
      <c r="H69" s="77">
        <v>2.8419712575971545E-2</v>
      </c>
      <c r="I69" s="77">
        <v>2.8600810764465853E-2</v>
      </c>
      <c r="J69" s="81">
        <v>-3.706685814167391E-3</v>
      </c>
    </row>
    <row r="70" spans="2:12" x14ac:dyDescent="0.2">
      <c r="B70" s="76" t="str">
        <v>volatility_atm</v>
      </c>
      <c r="C70" s="39">
        <v>0.2</v>
      </c>
      <c r="F70" s="68" t="str">
        <v>theta</v>
      </c>
      <c r="G70" s="77">
        <v>-2.0586020879070115</v>
      </c>
      <c r="H70" s="77">
        <v>-2.3757763802128355</v>
      </c>
      <c r="I70" s="77">
        <v>-2.3001645357610845</v>
      </c>
      <c r="J70" s="81">
        <v>0.39278613675757512</v>
      </c>
    </row>
    <row r="71" spans="2:12" x14ac:dyDescent="0.2">
      <c r="B71" s="76" t="str">
        <v>years_to_maturity</v>
      </c>
      <c r="C71" s="40">
        <v>0.98630136986301375</v>
      </c>
      <c r="D71" s="27"/>
      <c r="F71" s="68" t="str">
        <v>vega</v>
      </c>
      <c r="G71" s="77">
        <v>20.22013849867448</v>
      </c>
      <c r="H71" s="77">
        <v>22.687658313576161</v>
      </c>
      <c r="I71" s="77">
        <v>22.051456654384591</v>
      </c>
      <c r="J71" s="81">
        <v>-3.1037214740932519</v>
      </c>
    </row>
    <row r="72" spans="2:12" x14ac:dyDescent="0.2">
      <c r="B72" s="41" t="str">
        <v>strike_price</v>
      </c>
      <c r="C72" s="87">
        <v>65</v>
      </c>
      <c r="F72" s="69" t="str">
        <v>rho</v>
      </c>
      <c r="G72" s="85">
        <v>31.434545999254723</v>
      </c>
      <c r="H72" s="85">
        <v>25.88987902425286</v>
      </c>
      <c r="I72" s="85">
        <v>19.453660340770341</v>
      </c>
      <c r="J72" s="82">
        <v>-0.89155170848065524</v>
      </c>
    </row>
    <row r="75" spans="2:12" x14ac:dyDescent="0.2">
      <c r="F75" s="4" t="s">
        <v>40</v>
      </c>
    </row>
    <row r="76" spans="2:12" x14ac:dyDescent="0.2">
      <c r="F76" s="5" t="str" cm="1">
        <f t="array" ref="F76">[1]!xlb_grid(F77:G86)</f>
        <v>[OptionsPricer.xlsx]main!$F$76:0</v>
      </c>
    </row>
    <row r="77" spans="2:12" x14ac:dyDescent="0.2">
      <c r="F77" s="8" t="s">
        <v>4</v>
      </c>
      <c r="G77" s="9">
        <f>$C$4</f>
        <v>45789.869145046294</v>
      </c>
    </row>
    <row r="78" spans="2:12" x14ac:dyDescent="0.2">
      <c r="F78" s="10" t="s">
        <v>42</v>
      </c>
      <c r="G78" s="11">
        <f>G77+90</f>
        <v>45879.869145046294</v>
      </c>
    </row>
    <row r="79" spans="2:12" x14ac:dyDescent="0.2">
      <c r="F79" s="10" t="s">
        <v>43</v>
      </c>
      <c r="G79" s="11">
        <f>G78</f>
        <v>45879.869145046294</v>
      </c>
    </row>
    <row r="80" spans="2:12" x14ac:dyDescent="0.2">
      <c r="F80" s="10" t="s">
        <v>41</v>
      </c>
      <c r="G80" s="12">
        <v>60</v>
      </c>
    </row>
    <row r="81" spans="6:7" x14ac:dyDescent="0.2">
      <c r="F81" s="10" t="s">
        <v>7</v>
      </c>
      <c r="G81" s="12">
        <v>2</v>
      </c>
    </row>
    <row r="82" spans="6:7" x14ac:dyDescent="0.2">
      <c r="F82" s="10" t="s">
        <v>8</v>
      </c>
      <c r="G82" s="13" t="s">
        <v>33</v>
      </c>
    </row>
    <row r="83" spans="6:7" x14ac:dyDescent="0.2">
      <c r="F83" s="10" t="s">
        <v>44</v>
      </c>
      <c r="G83" s="24">
        <v>1</v>
      </c>
    </row>
    <row r="84" spans="6:7" x14ac:dyDescent="0.2">
      <c r="F84" s="10" t="s">
        <v>5</v>
      </c>
      <c r="G84" s="20" t="str">
        <f>$L$23</f>
        <v>[OptionsPricer.xlsx]main!$L$23:0</v>
      </c>
    </row>
    <row r="85" spans="6:7" x14ac:dyDescent="0.2">
      <c r="F85" s="10" t="s">
        <v>2</v>
      </c>
      <c r="G85" s="20" t="str">
        <f>$L$11</f>
        <v>[OptionsPricer.xlsx]main!$L$11:0</v>
      </c>
    </row>
    <row r="86" spans="6:7" x14ac:dyDescent="0.2">
      <c r="F86" s="14" t="s">
        <v>45</v>
      </c>
      <c r="G86" s="95">
        <v>100</v>
      </c>
    </row>
    <row r="88" spans="6:7" x14ac:dyDescent="0.2">
      <c r="F88" s="16" t="s">
        <v>13</v>
      </c>
      <c r="G88" s="17" t="str" cm="1">
        <f t="array" ref="G88">[1]!xlb_run_ql_function($C$3,"comdty_vanilla_option_calendar_spread",F76)</f>
        <v>[OptionsPricer.xlsx]main!$G$88:0</v>
      </c>
    </row>
    <row r="90" spans="6:7" x14ac:dyDescent="0.2">
      <c r="F90" s="1" t="str" cm="1">
        <f t="array" ref="F90:G96">[1]!xlb_flatten(G88)</f>
        <v/>
      </c>
      <c r="G90" s="7" t="str">
        <v>PUT</v>
      </c>
    </row>
    <row r="91" spans="6:7" x14ac:dyDescent="0.2">
      <c r="F91" s="90" t="str">
        <v>price</v>
      </c>
      <c r="G91" s="91">
        <v>1.9793435765647562</v>
      </c>
    </row>
    <row r="92" spans="6:7" x14ac:dyDescent="0.2">
      <c r="F92" s="92" t="str">
        <v>payoff</v>
      </c>
      <c r="G92" s="26">
        <v>2</v>
      </c>
    </row>
    <row r="93" spans="6:7" x14ac:dyDescent="0.2">
      <c r="F93" s="93" t="str">
        <v>risk_free_rate_long</v>
      </c>
      <c r="G93" s="54">
        <v>4.2104444444444229E-2</v>
      </c>
    </row>
    <row r="94" spans="6:7" x14ac:dyDescent="0.2">
      <c r="F94" s="93" t="str">
        <v>risk_free_rate_short</v>
      </c>
      <c r="G94" s="54">
        <v>4.2104444444444229E-2</v>
      </c>
    </row>
    <row r="95" spans="6:7" x14ac:dyDescent="0.2">
      <c r="F95" s="93" t="str">
        <v>volatility_long</v>
      </c>
      <c r="G95" s="54">
        <v>0.18210569216331371</v>
      </c>
    </row>
    <row r="96" spans="6:7" x14ac:dyDescent="0.2">
      <c r="F96" s="94" t="str">
        <v>volatility_short</v>
      </c>
      <c r="G96" s="56">
        <v>0.18210569216331371</v>
      </c>
    </row>
  </sheetData>
  <mergeCells count="1">
    <mergeCell ref="L37:M37"/>
  </mergeCells>
  <dataValidations count="3">
    <dataValidation type="list" allowBlank="1" showInputMessage="1" showErrorMessage="1" sqref="C12 G10 G58 C55 G82" xr:uid="{6FA94C2A-3FE7-4662-928D-3F0039D08613}">
      <formula1>"CALL, PUT"</formula1>
    </dataValidation>
    <dataValidation type="list" allowBlank="1" showInputMessage="1" showErrorMessage="1" sqref="C13 G34 G11 G59" xr:uid="{D07E1998-10E8-4772-BFC5-7FDE562F1386}">
      <formula1>"EUROPEAN, AMERICAN"</formula1>
    </dataValidation>
    <dataValidation type="list" allowBlank="1" showInputMessage="1" showErrorMessage="1" sqref="D14" xr:uid="{0287CCB2-D629-4C52-A199-7E0D42BABD9F}">
      <formula1>"SURFACE, CONSTANT"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B9C2-4646-46A4-8942-B23A71A1750F}">
  <sheetPr codeName="Sheet1"/>
  <dimension ref="A1:J104"/>
  <sheetViews>
    <sheetView showGridLines="0" workbookViewId="0">
      <selection activeCell="C3" sqref="C3"/>
    </sheetView>
  </sheetViews>
  <sheetFormatPr defaultRowHeight="12.75" x14ac:dyDescent="0.2"/>
  <cols>
    <col min="1" max="1" width="2.42578125" style="1" customWidth="1"/>
    <col min="2" max="2" width="14.28515625" style="1" customWidth="1"/>
    <col min="3" max="3" width="35" style="1" bestFit="1" customWidth="1"/>
    <col min="4" max="6" width="9.140625" style="1"/>
    <col min="7" max="7" width="9.140625" style="1" customWidth="1"/>
    <col min="8" max="8" width="85.42578125" style="1" customWidth="1"/>
    <col min="9" max="10" width="9.140625" style="1"/>
    <col min="11" max="11" width="88" style="1" bestFit="1" customWidth="1"/>
    <col min="12" max="16384" width="9.140625" style="1"/>
  </cols>
  <sheetData>
    <row r="1" spans="1:10" s="44" customFormat="1" ht="21" customHeight="1" x14ac:dyDescent="0.2">
      <c r="A1" s="106" t="s">
        <v>64</v>
      </c>
      <c r="J1" s="47"/>
    </row>
    <row r="3" spans="1:10" x14ac:dyDescent="0.2">
      <c r="B3" s="89" t="str" cm="1">
        <f t="array" ref="B3">[1]!xlb_grid(B4:C5)</f>
        <v>[OptionsPricer.xlsx]ols_example!$B$3:0</v>
      </c>
    </row>
    <row r="4" spans="1:10" x14ac:dyDescent="0.2">
      <c r="B4" s="96" t="s">
        <v>60</v>
      </c>
      <c r="C4" s="97" t="str" cm="1">
        <f t="array" ref="C4">[1]!xlb_array(E5:E104)</f>
        <v>[OptionsPricer.xlsx]ols_example!$C$4:0</v>
      </c>
      <c r="E4" s="102" t="s">
        <v>60</v>
      </c>
      <c r="F4" s="103" t="s">
        <v>61</v>
      </c>
      <c r="H4" s="89" t="str" cm="1">
        <f t="array" ref="H4">[1]!xlb_create_function(H5:H10)</f>
        <v>[OptionsPricer.xlsx]ols_example!$H$4:0</v>
      </c>
    </row>
    <row r="5" spans="1:10" x14ac:dyDescent="0.2">
      <c r="B5" s="98" t="s">
        <v>63</v>
      </c>
      <c r="C5" s="99" t="str" cm="1">
        <f t="array" ref="C5">[1]!xlb_array(F5:F104)</f>
        <v>[OptionsPricer.xlsx]ols_example!$C$5:0</v>
      </c>
      <c r="E5" s="104">
        <v>37.454011884736197</v>
      </c>
      <c r="F5" s="12">
        <v>105.811206417794</v>
      </c>
      <c r="H5" s="107" t="s">
        <v>65</v>
      </c>
    </row>
    <row r="6" spans="1:10" x14ac:dyDescent="0.2">
      <c r="E6" s="104">
        <v>95.071430640991593</v>
      </c>
      <c r="F6" s="12">
        <v>240.20339284083201</v>
      </c>
      <c r="H6" s="108" t="s">
        <v>66</v>
      </c>
    </row>
    <row r="7" spans="1:10" x14ac:dyDescent="0.2">
      <c r="B7" s="16" t="s">
        <v>13</v>
      </c>
      <c r="C7" s="100" t="str" cm="1">
        <f t="array" ref="C7">[1]!xlb_run_function(H4,"regression",B3)</f>
        <v>[OptionsPricer.xlsx]ols_example!$C$7:0</v>
      </c>
      <c r="E7" s="104">
        <v>73.199394181140505</v>
      </c>
      <c r="F7" s="12">
        <v>133.55943007039801</v>
      </c>
      <c r="H7" s="108" t="s">
        <v>67</v>
      </c>
    </row>
    <row r="8" spans="1:10" x14ac:dyDescent="0.2">
      <c r="E8" s="104">
        <v>59.865848419703603</v>
      </c>
      <c r="F8" s="12">
        <v>109.975398184236</v>
      </c>
      <c r="H8" s="108" t="s">
        <v>59</v>
      </c>
    </row>
    <row r="9" spans="1:10" x14ac:dyDescent="0.2">
      <c r="B9" s="1" t="str" cm="1">
        <f t="array" ref="B9:C11">[1]!xlb_flatten(C7)</f>
        <v/>
      </c>
      <c r="C9" s="7" t="str">
        <v>value</v>
      </c>
      <c r="E9" s="104">
        <v>15.6018640442436</v>
      </c>
      <c r="F9" s="12">
        <v>43.512862914671302</v>
      </c>
      <c r="H9" s="108" t="s">
        <v>62</v>
      </c>
    </row>
    <row r="10" spans="1:10" x14ac:dyDescent="0.2">
      <c r="B10" s="67" t="str">
        <v>intercept</v>
      </c>
      <c r="C10" s="101">
        <v>19.379029343691968</v>
      </c>
      <c r="E10" s="104">
        <v>15.599452033620199</v>
      </c>
      <c r="F10" s="12">
        <v>57.926444371844298</v>
      </c>
      <c r="H10" s="109" t="s">
        <v>68</v>
      </c>
    </row>
    <row r="11" spans="1:10" x14ac:dyDescent="0.2">
      <c r="B11" s="69" t="str">
        <v>slope</v>
      </c>
      <c r="C11" s="15">
        <v>2.2492634723423972</v>
      </c>
      <c r="E11" s="104">
        <v>5.8083612168199403</v>
      </c>
      <c r="F11" s="12">
        <v>61.468254160587698</v>
      </c>
    </row>
    <row r="12" spans="1:10" x14ac:dyDescent="0.2">
      <c r="E12" s="104">
        <v>86.617614577493498</v>
      </c>
      <c r="F12" s="12">
        <v>213.58728098689201</v>
      </c>
    </row>
    <row r="13" spans="1:10" x14ac:dyDescent="0.2">
      <c r="E13" s="104">
        <v>60.1115011743208</v>
      </c>
      <c r="F13" s="12">
        <v>140.06641286347201</v>
      </c>
    </row>
    <row r="14" spans="1:10" x14ac:dyDescent="0.2">
      <c r="E14" s="104">
        <v>70.807257779604498</v>
      </c>
      <c r="F14" s="12">
        <v>174.47421835939701</v>
      </c>
    </row>
    <row r="15" spans="1:10" x14ac:dyDescent="0.2">
      <c r="E15" s="104">
        <v>2.0584494295802398</v>
      </c>
      <c r="F15" s="12">
        <v>38.031176516502398</v>
      </c>
    </row>
    <row r="16" spans="1:10" x14ac:dyDescent="0.2">
      <c r="E16" s="104">
        <v>96.990985216199405</v>
      </c>
      <c r="F16" s="12">
        <v>260.69624078199001</v>
      </c>
    </row>
    <row r="17" spans="5:6" x14ac:dyDescent="0.2">
      <c r="E17" s="104">
        <v>83.2442640800421</v>
      </c>
      <c r="F17" s="12">
        <v>204.866655105929</v>
      </c>
    </row>
    <row r="18" spans="5:6" x14ac:dyDescent="0.2">
      <c r="E18" s="104">
        <v>21.233911067827599</v>
      </c>
      <c r="F18" s="12">
        <v>75.916463497402901</v>
      </c>
    </row>
    <row r="19" spans="5:6" x14ac:dyDescent="0.2">
      <c r="E19" s="104">
        <v>18.182496720709999</v>
      </c>
      <c r="F19" s="12">
        <v>57.8831805354761</v>
      </c>
    </row>
    <row r="20" spans="5:6" x14ac:dyDescent="0.2">
      <c r="E20" s="104">
        <v>18.340450985343299</v>
      </c>
      <c r="F20" s="12">
        <v>80.067252226680594</v>
      </c>
    </row>
    <row r="21" spans="5:6" x14ac:dyDescent="0.2">
      <c r="E21" s="104">
        <v>30.424224295953699</v>
      </c>
      <c r="F21" s="12">
        <v>68.509233392950605</v>
      </c>
    </row>
    <row r="22" spans="5:6" x14ac:dyDescent="0.2">
      <c r="E22" s="104">
        <v>52.475643163223701</v>
      </c>
      <c r="F22" s="12">
        <v>132.99755424311499</v>
      </c>
    </row>
    <row r="23" spans="5:6" x14ac:dyDescent="0.2">
      <c r="E23" s="104">
        <v>43.194501864211503</v>
      </c>
      <c r="F23" s="12">
        <v>108.183550832225</v>
      </c>
    </row>
    <row r="24" spans="5:6" x14ac:dyDescent="0.2">
      <c r="E24" s="104">
        <v>29.122914019804099</v>
      </c>
      <c r="F24" s="12">
        <v>46.219411346207501</v>
      </c>
    </row>
    <row r="25" spans="5:6" x14ac:dyDescent="0.2">
      <c r="E25" s="104">
        <v>61.185289472237898</v>
      </c>
      <c r="F25" s="12">
        <v>170.36623060720899</v>
      </c>
    </row>
    <row r="26" spans="5:6" x14ac:dyDescent="0.2">
      <c r="E26" s="104">
        <v>13.9493860652041</v>
      </c>
      <c r="F26" s="12">
        <v>51.3998469675076</v>
      </c>
    </row>
    <row r="27" spans="5:6" x14ac:dyDescent="0.2">
      <c r="E27" s="104">
        <v>29.2144648535218</v>
      </c>
      <c r="F27" s="12">
        <v>83.163998549865994</v>
      </c>
    </row>
    <row r="28" spans="5:6" x14ac:dyDescent="0.2">
      <c r="E28" s="104">
        <v>36.636184329369101</v>
      </c>
      <c r="F28" s="12">
        <v>95.725782489044207</v>
      </c>
    </row>
    <row r="29" spans="5:6" x14ac:dyDescent="0.2">
      <c r="E29" s="104">
        <v>45.606998421703501</v>
      </c>
      <c r="F29" s="12">
        <v>88.633227502998594</v>
      </c>
    </row>
    <row r="30" spans="5:6" x14ac:dyDescent="0.2">
      <c r="E30" s="104">
        <v>78.517596139301304</v>
      </c>
      <c r="F30" s="12">
        <v>195.77785727911899</v>
      </c>
    </row>
    <row r="31" spans="5:6" x14ac:dyDescent="0.2">
      <c r="E31" s="104">
        <v>19.9673782158359</v>
      </c>
      <c r="F31" s="12">
        <v>51.350582626420703</v>
      </c>
    </row>
    <row r="32" spans="5:6" x14ac:dyDescent="0.2">
      <c r="E32" s="104">
        <v>51.423443841361099</v>
      </c>
      <c r="F32" s="12">
        <v>118.501677872862</v>
      </c>
    </row>
    <row r="33" spans="5:6" x14ac:dyDescent="0.2">
      <c r="E33" s="104">
        <v>59.241456886204197</v>
      </c>
      <c r="F33" s="12">
        <v>154.07149942385999</v>
      </c>
    </row>
    <row r="34" spans="5:6" x14ac:dyDescent="0.2">
      <c r="E34" s="104">
        <v>4.6450412719997702</v>
      </c>
      <c r="F34" s="12">
        <v>31.7138746003628</v>
      </c>
    </row>
    <row r="35" spans="5:6" x14ac:dyDescent="0.2">
      <c r="E35" s="104">
        <v>60.754485190143797</v>
      </c>
      <c r="F35" s="12">
        <v>209.04086050562199</v>
      </c>
    </row>
    <row r="36" spans="5:6" x14ac:dyDescent="0.2">
      <c r="E36" s="104">
        <v>17.052412368729101</v>
      </c>
      <c r="F36" s="12">
        <v>56.9954762426188</v>
      </c>
    </row>
    <row r="37" spans="5:6" x14ac:dyDescent="0.2">
      <c r="E37" s="104">
        <v>6.5051592985279498</v>
      </c>
      <c r="F37" s="12">
        <v>32.701658014388897</v>
      </c>
    </row>
    <row r="38" spans="5:6" x14ac:dyDescent="0.2">
      <c r="E38" s="104">
        <v>94.888553725333296</v>
      </c>
      <c r="F38" s="12">
        <v>245.36023641917899</v>
      </c>
    </row>
    <row r="39" spans="5:6" x14ac:dyDescent="0.2">
      <c r="E39" s="104">
        <v>96.563203307455893</v>
      </c>
      <c r="F39" s="12">
        <v>203.43872788616301</v>
      </c>
    </row>
    <row r="40" spans="5:6" x14ac:dyDescent="0.2">
      <c r="E40" s="104">
        <v>80.839734811646096</v>
      </c>
      <c r="F40" s="12">
        <v>211.436490142884</v>
      </c>
    </row>
    <row r="41" spans="5:6" x14ac:dyDescent="0.2">
      <c r="E41" s="104">
        <v>30.461376917336999</v>
      </c>
      <c r="F41" s="12">
        <v>87.659197541868295</v>
      </c>
    </row>
    <row r="42" spans="5:6" x14ac:dyDescent="0.2">
      <c r="E42" s="104">
        <v>9.7672114006383808</v>
      </c>
      <c r="F42" s="12">
        <v>95.999081313728098</v>
      </c>
    </row>
    <row r="43" spans="5:6" x14ac:dyDescent="0.2">
      <c r="E43" s="104">
        <v>68.423302651215593</v>
      </c>
      <c r="F43" s="12">
        <v>176.249232508511</v>
      </c>
    </row>
    <row r="44" spans="5:6" x14ac:dyDescent="0.2">
      <c r="E44" s="104">
        <v>44.015249373960103</v>
      </c>
      <c r="F44" s="12">
        <v>127.57680699324</v>
      </c>
    </row>
    <row r="45" spans="5:6" x14ac:dyDescent="0.2">
      <c r="E45" s="104">
        <v>12.2038234844778</v>
      </c>
      <c r="F45" s="12">
        <v>39.641764468563601</v>
      </c>
    </row>
    <row r="46" spans="5:6" x14ac:dyDescent="0.2">
      <c r="E46" s="104">
        <v>49.517691011126999</v>
      </c>
      <c r="F46" s="12">
        <v>104.577276587329</v>
      </c>
    </row>
    <row r="47" spans="5:6" x14ac:dyDescent="0.2">
      <c r="E47" s="104">
        <v>3.4388521115218298</v>
      </c>
      <c r="F47" s="12">
        <v>47.167700641680099</v>
      </c>
    </row>
    <row r="48" spans="5:6" x14ac:dyDescent="0.2">
      <c r="E48" s="104">
        <v>90.932040207878202</v>
      </c>
      <c r="F48" s="12">
        <v>256.12842633686398</v>
      </c>
    </row>
    <row r="49" spans="5:6" x14ac:dyDescent="0.2">
      <c r="E49" s="104">
        <v>25.877998160001599</v>
      </c>
      <c r="F49" s="12">
        <v>94.470794076080395</v>
      </c>
    </row>
    <row r="50" spans="5:6" x14ac:dyDescent="0.2">
      <c r="E50" s="104">
        <v>66.252228435398195</v>
      </c>
      <c r="F50" s="12">
        <v>152.895884718627</v>
      </c>
    </row>
    <row r="51" spans="5:6" x14ac:dyDescent="0.2">
      <c r="E51" s="104">
        <v>31.171107608941</v>
      </c>
      <c r="F51" s="12">
        <v>122.997626795755</v>
      </c>
    </row>
    <row r="52" spans="5:6" x14ac:dyDescent="0.2">
      <c r="E52" s="104">
        <v>52.006802117781</v>
      </c>
      <c r="F52" s="12">
        <v>104.970728724645</v>
      </c>
    </row>
    <row r="53" spans="5:6" x14ac:dyDescent="0.2">
      <c r="E53" s="104">
        <v>54.671027934327903</v>
      </c>
      <c r="F53" s="12">
        <v>161.34899718082599</v>
      </c>
    </row>
    <row r="54" spans="5:6" x14ac:dyDescent="0.2">
      <c r="E54" s="104">
        <v>18.485445552552701</v>
      </c>
      <c r="F54" s="12">
        <v>110.975004526631</v>
      </c>
    </row>
    <row r="55" spans="5:6" x14ac:dyDescent="0.2">
      <c r="E55" s="104">
        <v>96.958462776455804</v>
      </c>
      <c r="F55" s="12">
        <v>227.63274881287199</v>
      </c>
    </row>
    <row r="56" spans="5:6" x14ac:dyDescent="0.2">
      <c r="E56" s="104">
        <v>77.513282336111402</v>
      </c>
      <c r="F56" s="12">
        <v>189.62576260020899</v>
      </c>
    </row>
    <row r="57" spans="5:6" x14ac:dyDescent="0.2">
      <c r="E57" s="104">
        <v>93.949894156418907</v>
      </c>
      <c r="F57" s="12">
        <v>247.36601951823801</v>
      </c>
    </row>
    <row r="58" spans="5:6" x14ac:dyDescent="0.2">
      <c r="E58" s="104">
        <v>89.482735042764801</v>
      </c>
      <c r="F58" s="12">
        <v>221.119946254007</v>
      </c>
    </row>
    <row r="59" spans="5:6" x14ac:dyDescent="0.2">
      <c r="E59" s="104">
        <v>59.789997881108498</v>
      </c>
      <c r="F59" s="12">
        <v>120.708408926117</v>
      </c>
    </row>
    <row r="60" spans="5:6" x14ac:dyDescent="0.2">
      <c r="E60" s="104">
        <v>92.187423502311603</v>
      </c>
      <c r="F60" s="12">
        <v>242.18263312592899</v>
      </c>
    </row>
    <row r="61" spans="5:6" x14ac:dyDescent="0.2">
      <c r="E61" s="104">
        <v>8.8492502051919502</v>
      </c>
      <c r="F61" s="12">
        <v>5.5655326698272498</v>
      </c>
    </row>
    <row r="62" spans="5:6" x14ac:dyDescent="0.2">
      <c r="E62" s="104">
        <v>19.598286241914501</v>
      </c>
      <c r="F62" s="12">
        <v>70.835526370665804</v>
      </c>
    </row>
    <row r="63" spans="5:6" x14ac:dyDescent="0.2">
      <c r="E63" s="104">
        <v>4.5227288910538004</v>
      </c>
      <c r="F63" s="12">
        <v>-1.6787836282105599</v>
      </c>
    </row>
    <row r="64" spans="5:6" x14ac:dyDescent="0.2">
      <c r="E64" s="104">
        <v>32.533033076326397</v>
      </c>
      <c r="F64" s="12">
        <v>130.08094281625401</v>
      </c>
    </row>
    <row r="65" spans="5:6" x14ac:dyDescent="0.2">
      <c r="E65" s="104">
        <v>38.8677289689482</v>
      </c>
      <c r="F65" s="12">
        <v>87.587990113964494</v>
      </c>
    </row>
    <row r="66" spans="5:6" x14ac:dyDescent="0.2">
      <c r="E66" s="104">
        <v>27.1349031773895</v>
      </c>
      <c r="F66" s="12">
        <v>69.785720038332101</v>
      </c>
    </row>
    <row r="67" spans="5:6" x14ac:dyDescent="0.2">
      <c r="E67" s="104">
        <v>82.8737509151929</v>
      </c>
      <c r="F67" s="12">
        <v>237.52230772222401</v>
      </c>
    </row>
    <row r="68" spans="5:6" x14ac:dyDescent="0.2">
      <c r="E68" s="104">
        <v>35.675332669358902</v>
      </c>
      <c r="F68" s="12">
        <v>68.416723762548401</v>
      </c>
    </row>
    <row r="69" spans="5:6" x14ac:dyDescent="0.2">
      <c r="E69" s="104">
        <v>28.093450968738001</v>
      </c>
      <c r="F69" s="12">
        <v>85.920125786948404</v>
      </c>
    </row>
    <row r="70" spans="5:6" x14ac:dyDescent="0.2">
      <c r="E70" s="104">
        <v>54.269608315824797</v>
      </c>
      <c r="F70" s="12">
        <v>178.35258964662199</v>
      </c>
    </row>
    <row r="71" spans="5:6" x14ac:dyDescent="0.2">
      <c r="E71" s="104">
        <v>14.0924224974762</v>
      </c>
      <c r="F71" s="12">
        <v>5.04397537965996</v>
      </c>
    </row>
    <row r="72" spans="5:6" x14ac:dyDescent="0.2">
      <c r="E72" s="104">
        <v>80.219698075403898</v>
      </c>
      <c r="F72" s="12">
        <v>215.16509165181699</v>
      </c>
    </row>
    <row r="73" spans="5:6" x14ac:dyDescent="0.2">
      <c r="E73" s="104">
        <v>7.4550643679770801</v>
      </c>
      <c r="F73" s="12">
        <v>35.134730776153198</v>
      </c>
    </row>
    <row r="74" spans="5:6" x14ac:dyDescent="0.2">
      <c r="E74" s="104">
        <v>98.688693660051698</v>
      </c>
      <c r="F74" s="12">
        <v>276.267305944562</v>
      </c>
    </row>
    <row r="75" spans="5:6" x14ac:dyDescent="0.2">
      <c r="E75" s="104">
        <v>77.224476929665698</v>
      </c>
      <c r="F75" s="12">
        <v>172.137424552212</v>
      </c>
    </row>
    <row r="76" spans="5:6" x14ac:dyDescent="0.2">
      <c r="E76" s="104">
        <v>19.871568153417201</v>
      </c>
      <c r="F76" s="12">
        <v>26.667505056436099</v>
      </c>
    </row>
    <row r="77" spans="5:6" x14ac:dyDescent="0.2">
      <c r="E77" s="104">
        <v>0.55221171236023903</v>
      </c>
      <c r="F77" s="12">
        <v>24.429068421322999</v>
      </c>
    </row>
    <row r="78" spans="5:6" x14ac:dyDescent="0.2">
      <c r="E78" s="104">
        <v>81.546142845483402</v>
      </c>
      <c r="F78" s="12">
        <v>221.28997394453799</v>
      </c>
    </row>
    <row r="79" spans="5:6" x14ac:dyDescent="0.2">
      <c r="E79" s="104">
        <v>70.685734384761702</v>
      </c>
      <c r="F79" s="12">
        <v>192.976657220551</v>
      </c>
    </row>
    <row r="80" spans="5:6" x14ac:dyDescent="0.2">
      <c r="E80" s="104">
        <v>72.900716804098707</v>
      </c>
      <c r="F80" s="12">
        <v>200.912997247671</v>
      </c>
    </row>
    <row r="81" spans="5:6" x14ac:dyDescent="0.2">
      <c r="E81" s="104">
        <v>77.127034668594504</v>
      </c>
      <c r="F81" s="12">
        <v>50.931892672165901</v>
      </c>
    </row>
    <row r="82" spans="5:6" x14ac:dyDescent="0.2">
      <c r="E82" s="104">
        <v>7.4044651734090303</v>
      </c>
      <c r="F82" s="12">
        <v>34.3175053625476</v>
      </c>
    </row>
    <row r="83" spans="5:6" x14ac:dyDescent="0.2">
      <c r="E83" s="104">
        <v>35.846572854427201</v>
      </c>
      <c r="F83" s="12">
        <v>106.943243968535</v>
      </c>
    </row>
    <row r="84" spans="5:6" x14ac:dyDescent="0.2">
      <c r="E84" s="104">
        <v>11.5869059525129</v>
      </c>
      <c r="F84" s="12">
        <v>21.108479430623198</v>
      </c>
    </row>
    <row r="85" spans="5:6" x14ac:dyDescent="0.2">
      <c r="E85" s="104">
        <v>86.310342587559305</v>
      </c>
      <c r="F85" s="12">
        <v>176.14187161126901</v>
      </c>
    </row>
    <row r="86" spans="5:6" x14ac:dyDescent="0.2">
      <c r="E86" s="104">
        <v>62.329812682755701</v>
      </c>
      <c r="F86" s="12">
        <v>177.67035472968399</v>
      </c>
    </row>
    <row r="87" spans="5:6" x14ac:dyDescent="0.2">
      <c r="E87" s="104">
        <v>33.089802485264897</v>
      </c>
      <c r="F87" s="12">
        <v>62.941918783096</v>
      </c>
    </row>
    <row r="88" spans="5:6" x14ac:dyDescent="0.2">
      <c r="E88" s="104">
        <v>6.3558350286023604</v>
      </c>
      <c r="F88" s="12">
        <v>39.873661179212903</v>
      </c>
    </row>
    <row r="89" spans="5:6" x14ac:dyDescent="0.2">
      <c r="E89" s="104">
        <v>31.098232171566199</v>
      </c>
      <c r="F89" s="12">
        <v>63.378538673232498</v>
      </c>
    </row>
    <row r="90" spans="5:6" x14ac:dyDescent="0.2">
      <c r="E90" s="104">
        <v>32.518332202674699</v>
      </c>
      <c r="F90" s="12">
        <v>110.972945600248</v>
      </c>
    </row>
    <row r="91" spans="5:6" x14ac:dyDescent="0.2">
      <c r="E91" s="104">
        <v>72.960617833806396</v>
      </c>
      <c r="F91" s="12">
        <v>221.36643405970099</v>
      </c>
    </row>
    <row r="92" spans="5:6" x14ac:dyDescent="0.2">
      <c r="E92" s="104">
        <v>63.755747135521297</v>
      </c>
      <c r="F92" s="12">
        <v>148.87230988000999</v>
      </c>
    </row>
    <row r="93" spans="5:6" x14ac:dyDescent="0.2">
      <c r="E93" s="104">
        <v>88.721274257632601</v>
      </c>
      <c r="F93" s="12">
        <v>255.88758887518901</v>
      </c>
    </row>
    <row r="94" spans="5:6" x14ac:dyDescent="0.2">
      <c r="E94" s="104">
        <v>47.2214925161949</v>
      </c>
      <c r="F94" s="12">
        <v>138.373254463899</v>
      </c>
    </row>
    <row r="95" spans="5:6" x14ac:dyDescent="0.2">
      <c r="E95" s="104">
        <v>11.9594245938301</v>
      </c>
      <c r="F95" s="12">
        <v>60.450065484437602</v>
      </c>
    </row>
    <row r="96" spans="5:6" x14ac:dyDescent="0.2">
      <c r="E96" s="104">
        <v>71.324478722299503</v>
      </c>
      <c r="F96" s="12">
        <v>235.73102137209699</v>
      </c>
    </row>
    <row r="97" spans="5:6" x14ac:dyDescent="0.2">
      <c r="E97" s="104">
        <v>76.078504861689694</v>
      </c>
      <c r="F97" s="12">
        <v>194.061559254152</v>
      </c>
    </row>
    <row r="98" spans="5:6" x14ac:dyDescent="0.2">
      <c r="E98" s="104">
        <v>56.127719756949602</v>
      </c>
      <c r="F98" s="12">
        <v>131.47589528343599</v>
      </c>
    </row>
    <row r="99" spans="5:6" x14ac:dyDescent="0.2">
      <c r="E99" s="104">
        <v>77.096717995456103</v>
      </c>
      <c r="F99" s="12">
        <v>180.503934248002</v>
      </c>
    </row>
    <row r="100" spans="5:6" x14ac:dyDescent="0.2">
      <c r="E100" s="104">
        <v>49.379559636438998</v>
      </c>
      <c r="F100" s="12">
        <v>113.053641966961</v>
      </c>
    </row>
    <row r="101" spans="5:6" x14ac:dyDescent="0.2">
      <c r="E101" s="104">
        <v>52.273282938199401</v>
      </c>
      <c r="F101" s="12">
        <v>138.755664610145</v>
      </c>
    </row>
    <row r="102" spans="5:6" x14ac:dyDescent="0.2">
      <c r="E102" s="104">
        <v>42.754101835854897</v>
      </c>
      <c r="F102" s="12">
        <v>125.414053960053</v>
      </c>
    </row>
    <row r="103" spans="5:6" x14ac:dyDescent="0.2">
      <c r="E103" s="104">
        <v>2.54191267440951</v>
      </c>
      <c r="F103" s="12">
        <v>80.287281795740597</v>
      </c>
    </row>
    <row r="104" spans="5:6" x14ac:dyDescent="0.2">
      <c r="E104" s="105">
        <v>10.7891426993304</v>
      </c>
      <c r="F104" s="15">
        <v>57.6524379742267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ols_example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Julij Jegorov</dc:creator>
  <cp:lastModifiedBy>Julij Jegorov</cp:lastModifiedBy>
  <dcterms:created xsi:type="dcterms:W3CDTF">2025-05-02T11:07:26Z</dcterms:created>
  <dcterms:modified xsi:type="dcterms:W3CDTF">2025-05-12T20:01:11Z</dcterms:modified>
</cp:coreProperties>
</file>