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12FE389C-F76E-4CB7-B19F-3D0A54AE61CD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INVESTIMENTOS E RECURSOS" sheetId="1" r:id="rId1"/>
    <sheet name="ESTIMATIVAS DE IMPOSTOS" sheetId="2" r:id="rId2"/>
    <sheet name="DRE" sheetId="3" r:id="rId3"/>
    <sheet name="INDICADORES DE VIABILIDAD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8" i="3" s="1"/>
  <c r="C10" i="2" l="1"/>
  <c r="C7" i="2"/>
  <c r="C8" i="2"/>
  <c r="C9" i="2" l="1"/>
  <c r="B15" i="4" l="1"/>
  <c r="F21" i="4"/>
  <c r="F9" i="4"/>
  <c r="F4" i="4"/>
  <c r="F5" i="4" s="1"/>
  <c r="F10" i="4" s="1"/>
  <c r="C4" i="4"/>
  <c r="C9" i="4"/>
  <c r="C11" i="4" s="1"/>
  <c r="C7" i="4"/>
  <c r="C5" i="4"/>
  <c r="C9" i="3"/>
  <c r="C16" i="2"/>
  <c r="C14" i="2"/>
  <c r="B3" i="2"/>
  <c r="B13" i="1"/>
  <c r="C10" i="1" s="1"/>
  <c r="B5" i="1"/>
  <c r="C2" i="1" s="1"/>
  <c r="F11" i="4" l="1"/>
  <c r="C17" i="2"/>
  <c r="C4" i="3" s="1"/>
  <c r="C5" i="3" s="1"/>
  <c r="B21" i="4"/>
  <c r="F15" i="4"/>
  <c r="C11" i="1"/>
  <c r="C8" i="1"/>
  <c r="C12" i="1"/>
  <c r="C9" i="1"/>
  <c r="C3" i="1"/>
  <c r="C4" i="1"/>
  <c r="C7" i="3" l="1"/>
  <c r="C18" i="3" s="1"/>
  <c r="C19" i="3" s="1"/>
  <c r="C5" i="1"/>
  <c r="C13" i="1"/>
  <c r="C20" i="3" l="1"/>
  <c r="F29" i="4" l="1"/>
  <c r="D20" i="3"/>
  <c r="F33" i="4"/>
  <c r="F16" i="4"/>
  <c r="F17" i="4" s="1"/>
  <c r="B16" i="4"/>
  <c r="B17" i="4" s="1"/>
  <c r="F31" i="4"/>
  <c r="B22" i="4"/>
  <c r="B23" i="4" s="1"/>
  <c r="F30" i="4"/>
  <c r="F32" i="4"/>
  <c r="F22" i="4"/>
  <c r="F23" i="4"/>
  <c r="F24" i="4"/>
  <c r="F25" i="4"/>
  <c r="F26" i="4"/>
  <c r="F27" i="4"/>
  <c r="F28" i="4"/>
  <c r="F34" i="4" l="1"/>
</calcChain>
</file>

<file path=xl/sharedStrings.xml><?xml version="1.0" encoding="utf-8"?>
<sst xmlns="http://schemas.openxmlformats.org/spreadsheetml/2006/main" count="159" uniqueCount="86">
  <si>
    <t>DESCRIÇÃO DOS INVESTIMENTOS</t>
  </si>
  <si>
    <t>R$</t>
  </si>
  <si>
    <t>(%)</t>
  </si>
  <si>
    <t>INVESTIMENTOS FIXOS</t>
  </si>
  <si>
    <t>CAPITAL DE GIRO</t>
  </si>
  <si>
    <t>INVESTIMENTOS PRÉ-OPERACIONAIS</t>
  </si>
  <si>
    <t>TOTAL</t>
  </si>
  <si>
    <t>FONTES DE RECURSOS</t>
  </si>
  <si>
    <t>RECURSOS PRÓPRIOS</t>
  </si>
  <si>
    <t>FINANCIAMENTO (PROGER / FINEP / BNDES / BB)</t>
  </si>
  <si>
    <t>RECURSOS DE TERCEIROS (INV. ANJO)</t>
  </si>
  <si>
    <t>RECURSOS DE TERCEIROS (ACELERADORA)</t>
  </si>
  <si>
    <t>RECURSOS DE TERCEIROS (CROWDFUNDING)</t>
  </si>
  <si>
    <t>INDÚSTRIA</t>
  </si>
  <si>
    <t>DESCRIÇÃO</t>
  </si>
  <si>
    <t>%</t>
  </si>
  <si>
    <t>IMPOSTO ESTIMADO MENSAL (R$)</t>
  </si>
  <si>
    <t>IMPOSTOS FEDERAIS</t>
  </si>
  <si>
    <t>SIMPLES</t>
  </si>
  <si>
    <t>IRPJ</t>
  </si>
  <si>
    <t>PIS</t>
  </si>
  <si>
    <t>COFINS</t>
  </si>
  <si>
    <t>CSLL - Contribuição Social sobre Lucro Líquido</t>
  </si>
  <si>
    <t>IMPOSTOS ESTADUAIS</t>
  </si>
  <si>
    <t>ICMS</t>
  </si>
  <si>
    <t>IMPOSTOS MUNICIPAIS</t>
  </si>
  <si>
    <t>ISS</t>
  </si>
  <si>
    <t>DEMONSTRATIVO DE RESULTADO DO EXERCÍCIO - ESTIMATIVA</t>
  </si>
  <si>
    <t>OPERAÇÃO</t>
  </si>
  <si>
    <t>DISCRIMINAÇÃO</t>
  </si>
  <si>
    <t>VALOR</t>
  </si>
  <si>
    <t>+</t>
  </si>
  <si>
    <t>VENDAS / RECEITAS</t>
  </si>
  <si>
    <t>-</t>
  </si>
  <si>
    <t>IMPOSTOS (SIMPLES - 6ª FAIXA)</t>
  </si>
  <si>
    <t>=</t>
  </si>
  <si>
    <t>RECEITA LÍQUIDA</t>
  </si>
  <si>
    <t>CUSTOS DE MERCADORIAS VENDIDAS (CMV)</t>
  </si>
  <si>
    <t>LUCRO BRUTO (LB)</t>
  </si>
  <si>
    <t>DESPESAS COM VENDAS (TAXA FINANCEIRA DE VENDAS)</t>
  </si>
  <si>
    <t>DESPESAS FINANCEIRAS (IOF)</t>
  </si>
  <si>
    <t>DESPESAS COM VENDAS (COMISSÕES)</t>
  </si>
  <si>
    <t>DESPESAS FIXAS MENSAIS (OPERACIONAL)</t>
  </si>
  <si>
    <t>CUSTOS COM SALÁRIOS E ENCARGOS</t>
  </si>
  <si>
    <t>CUSTOS COM DEPRECIAÇÃO</t>
  </si>
  <si>
    <t>ALIMENTAÇÃO</t>
  </si>
  <si>
    <t>FINANCIAMENTO</t>
  </si>
  <si>
    <t>CONTADOR</t>
  </si>
  <si>
    <t>EBTIDA (LAJIR)</t>
  </si>
  <si>
    <t>LUCRO LÍQUIDO (LL)</t>
  </si>
  <si>
    <t>INDICADOR FINANCEIRO - MARGEM DE CONTRIBUIÇÃO</t>
  </si>
  <si>
    <t>MARGEM DE CONTRIBUIÇÃO (MC)</t>
  </si>
  <si>
    <t>INDICADOR FINANCEIRO - ÍNDICE DA MARGEM DE CONTRIBUIÇÃO</t>
  </si>
  <si>
    <t>ÍNDICE DA MARGEM DE CONTRIBUIÇÃO (IMC)</t>
  </si>
  <si>
    <t>INDICADOR FINANCEIRO - PONTO DE EQUILÍBRIO</t>
  </si>
  <si>
    <t>CUSTO FIXO TOTAL</t>
  </si>
  <si>
    <t>PONTO DE EQUILÍBRIO</t>
  </si>
  <si>
    <t>INDICADOR FINANCEIRO - LUCRATIVIDADE</t>
  </si>
  <si>
    <t>LUCRATIVIDADE (% POR MÊS)</t>
  </si>
  <si>
    <t>INDICADOR FINANCEIRO - RENTABILIDADE</t>
  </si>
  <si>
    <t>INVESTIMENTO TOTAL</t>
  </si>
  <si>
    <t>RENTABILIDADE (% POR MÊS)</t>
  </si>
  <si>
    <t>INDICADOR FINANCEIRO - PRAZO DE RETORNO (PAYBACK)</t>
  </si>
  <si>
    <t>PRAZO DE RETORNO DE INVESTIMENTO (MESES)</t>
  </si>
  <si>
    <t>INDICADOR FINANCEIRO - TAXA DE RETORNO</t>
  </si>
  <si>
    <t>MÊS</t>
  </si>
  <si>
    <t>TAXA DE RETORNO (IRR)</t>
  </si>
  <si>
    <t>VENDAS / RECEITAS / FATURAMENTO</t>
  </si>
  <si>
    <t>IMPOSTOS ( % DA FAIXA DO SIMPLES)</t>
  </si>
  <si>
    <t>ESTIMATIVAS</t>
  </si>
  <si>
    <t>ENQUADRAMENTO</t>
  </si>
  <si>
    <t>FATURAMENTO MENSAL</t>
  </si>
  <si>
    <t>SITE PARA CONSULTA</t>
  </si>
  <si>
    <t>FATURAMENTO ANUAL (MENSAL * 12)</t>
  </si>
  <si>
    <t>4ª FAIXA DO SIMPLES NACIONAL</t>
  </si>
  <si>
    <t>11,20%</t>
  </si>
  <si>
    <t>IPI</t>
  </si>
  <si>
    <t>http://www.portaltributario.com.br/glossario.htm</t>
  </si>
  <si>
    <t>GLOSSÁRIO DE IMPOSTOS</t>
  </si>
  <si>
    <t>NÃO CALCULAR</t>
  </si>
  <si>
    <t>http://www.portaldecontabilidade.com.br/guia/demonstracaodoresultado.htm</t>
  </si>
  <si>
    <t>https://www.jornalcontabil.com.br/como-se-calcula-dre/</t>
  </si>
  <si>
    <t>https://blog.cefis.com.br/o-que-e-iof/</t>
  </si>
  <si>
    <t>CPP</t>
  </si>
  <si>
    <t>http://www8.receita.fazenda.gov.br/SimplesNacional/Documentos/Pagina.aspx?id=3</t>
  </si>
  <si>
    <t>https://www.jornalcontabil.com.br/tabela-de-aliquotas-do-simples-nacional-2020/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</si>
</sst>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theme="5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165" fontId="0" fillId="0" borderId="4" xfId="1" applyNumberFormat="1" applyFont="1" applyBorder="1"/>
    <xf numFmtId="0" fontId="2" fillId="3" borderId="4" xfId="0" applyFont="1" applyFill="1" applyBorder="1" applyAlignment="1">
      <alignment horizontal="right"/>
    </xf>
    <xf numFmtId="164" fontId="2" fillId="3" borderId="4" xfId="0" applyNumberFormat="1" applyFont="1" applyFill="1" applyBorder="1"/>
    <xf numFmtId="165" fontId="2" fillId="3" borderId="4" xfId="1" applyNumberFormat="1" applyFont="1" applyFill="1" applyBorder="1"/>
    <xf numFmtId="0" fontId="2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9" xfId="0" applyBorder="1"/>
    <xf numFmtId="0" fontId="2" fillId="3" borderId="8" xfId="0" applyFont="1" applyFill="1" applyBorder="1" applyAlignment="1">
      <alignment horizontal="right"/>
    </xf>
    <xf numFmtId="164" fontId="2" fillId="3" borderId="11" xfId="0" applyNumberFormat="1" applyFont="1" applyFill="1" applyBorder="1"/>
    <xf numFmtId="9" fontId="0" fillId="0" borderId="10" xfId="1" applyNumberFormat="1" applyFont="1" applyBorder="1"/>
    <xf numFmtId="9" fontId="2" fillId="3" borderId="6" xfId="1" applyNumberFormat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8" xfId="0" applyFont="1" applyFill="1" applyBorder="1"/>
    <xf numFmtId="10" fontId="0" fillId="4" borderId="19" xfId="1" applyNumberFormat="1" applyFont="1" applyFill="1" applyBorder="1"/>
    <xf numFmtId="164" fontId="0" fillId="4" borderId="20" xfId="1" applyNumberFormat="1" applyFont="1" applyFill="1" applyBorder="1"/>
    <xf numFmtId="0" fontId="0" fillId="4" borderId="21" xfId="0" applyFont="1" applyFill="1" applyBorder="1"/>
    <xf numFmtId="10" fontId="0" fillId="4" borderId="4" xfId="1" applyNumberFormat="1" applyFont="1" applyFill="1" applyBorder="1"/>
    <xf numFmtId="164" fontId="0" fillId="4" borderId="22" xfId="1" applyNumberFormat="1" applyFont="1" applyFill="1" applyBorder="1"/>
    <xf numFmtId="0" fontId="0" fillId="0" borderId="23" xfId="0" applyFont="1" applyBorder="1"/>
    <xf numFmtId="10" fontId="0" fillId="0" borderId="11" xfId="1" applyNumberFormat="1" applyFont="1" applyBorder="1"/>
    <xf numFmtId="164" fontId="0" fillId="0" borderId="24" xfId="1" applyNumberFormat="1" applyFont="1" applyBorder="1"/>
    <xf numFmtId="0" fontId="0" fillId="4" borderId="18" xfId="0" applyFill="1" applyBorder="1"/>
    <xf numFmtId="0" fontId="0" fillId="4" borderId="12" xfId="0" applyFill="1" applyBorder="1"/>
    <xf numFmtId="10" fontId="0" fillId="4" borderId="13" xfId="1" applyNumberFormat="1" applyFont="1" applyFill="1" applyBorder="1"/>
    <xf numFmtId="164" fontId="0" fillId="4" borderId="14" xfId="1" applyNumberFormat="1" applyFont="1" applyFill="1" applyBorder="1"/>
    <xf numFmtId="164" fontId="2" fillId="7" borderId="3" xfId="0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21" xfId="0" applyFont="1" applyBorder="1" applyAlignment="1">
      <alignment horizontal="center" vertical="top" wrapText="1"/>
    </xf>
    <xf numFmtId="164" fontId="0" fillId="0" borderId="22" xfId="0" applyNumberFormat="1" applyBorder="1"/>
    <xf numFmtId="0" fontId="0" fillId="0" borderId="21" xfId="0" applyBorder="1" applyAlignment="1">
      <alignment horizontal="center" vertical="top" wrapText="1"/>
    </xf>
    <xf numFmtId="0" fontId="0" fillId="0" borderId="30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164" fontId="0" fillId="0" borderId="31" xfId="0" applyNumberFormat="1" applyBorder="1"/>
    <xf numFmtId="0" fontId="0" fillId="0" borderId="23" xfId="0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164" fontId="0" fillId="0" borderId="24" xfId="0" applyNumberFormat="1" applyBorder="1"/>
    <xf numFmtId="0" fontId="2" fillId="9" borderId="12" xfId="0" applyFont="1" applyFill="1" applyBorder="1" applyAlignment="1">
      <alignment horizontal="center" vertical="top" wrapText="1"/>
    </xf>
    <xf numFmtId="0" fontId="2" fillId="9" borderId="13" xfId="0" applyFont="1" applyFill="1" applyBorder="1"/>
    <xf numFmtId="164" fontId="2" fillId="9" borderId="14" xfId="0" applyNumberFormat="1" applyFont="1" applyFill="1" applyBorder="1"/>
    <xf numFmtId="0" fontId="0" fillId="0" borderId="11" xfId="0" applyBorder="1" applyAlignment="1">
      <alignment vertical="top"/>
    </xf>
    <xf numFmtId="0" fontId="0" fillId="0" borderId="23" xfId="0" applyFont="1" applyBorder="1" applyAlignment="1">
      <alignment horizontal="center" vertical="top" wrapText="1"/>
    </xf>
    <xf numFmtId="0" fontId="0" fillId="0" borderId="9" xfId="0" applyBorder="1" applyAlignment="1">
      <alignment vertical="top" wrapText="1"/>
    </xf>
    <xf numFmtId="164" fontId="0" fillId="0" borderId="32" xfId="0" applyNumberFormat="1" applyBorder="1"/>
    <xf numFmtId="0" fontId="0" fillId="0" borderId="8" xfId="0" applyBorder="1" applyAlignment="1">
      <alignment vertical="top" wrapText="1"/>
    </xf>
    <xf numFmtId="10" fontId="0" fillId="0" borderId="7" xfId="1" applyNumberFormat="1" applyFont="1" applyBorder="1"/>
    <xf numFmtId="0" fontId="2" fillId="9" borderId="26" xfId="0" applyFont="1" applyFill="1" applyBorder="1"/>
    <xf numFmtId="164" fontId="2" fillId="9" borderId="26" xfId="1" applyNumberFormat="1" applyFont="1" applyFill="1" applyBorder="1"/>
    <xf numFmtId="0" fontId="0" fillId="0" borderId="1" xfId="0" applyBorder="1" applyAlignment="1">
      <alignment vertical="top" wrapText="1"/>
    </xf>
    <xf numFmtId="164" fontId="0" fillId="0" borderId="5" xfId="0" applyNumberFormat="1" applyBorder="1"/>
    <xf numFmtId="0" fontId="2" fillId="2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0" fillId="0" borderId="7" xfId="0" applyNumberFormat="1" applyBorder="1"/>
    <xf numFmtId="10" fontId="2" fillId="9" borderId="26" xfId="1" applyNumberFormat="1" applyFont="1" applyFill="1" applyBorder="1"/>
    <xf numFmtId="0" fontId="2" fillId="2" borderId="34" xfId="0" applyFont="1" applyFill="1" applyBorder="1" applyAlignment="1">
      <alignment horizontal="center"/>
    </xf>
    <xf numFmtId="0" fontId="0" fillId="0" borderId="0" xfId="0" applyBorder="1" applyAlignment="1">
      <alignment vertical="top" wrapText="1"/>
    </xf>
    <xf numFmtId="164" fontId="0" fillId="0" borderId="0" xfId="0" applyNumberFormat="1" applyBorder="1"/>
    <xf numFmtId="0" fontId="2" fillId="9" borderId="0" xfId="0" applyFont="1" applyFill="1" applyBorder="1"/>
    <xf numFmtId="0" fontId="0" fillId="0" borderId="33" xfId="0" applyBorder="1" applyAlignment="1">
      <alignment horizontal="center"/>
    </xf>
    <xf numFmtId="10" fontId="2" fillId="9" borderId="0" xfId="1" applyNumberFormat="1" applyFont="1" applyFill="1" applyBorder="1"/>
    <xf numFmtId="2" fontId="2" fillId="9" borderId="26" xfId="1" applyNumberFormat="1" applyFont="1" applyFill="1" applyBorder="1"/>
    <xf numFmtId="0" fontId="0" fillId="4" borderId="35" xfId="0" applyFont="1" applyFill="1" applyBorder="1" applyAlignment="1">
      <alignment vertical="top" wrapText="1"/>
    </xf>
    <xf numFmtId="0" fontId="0" fillId="0" borderId="36" xfId="0" applyFont="1" applyBorder="1" applyAlignment="1">
      <alignment vertical="top" wrapText="1"/>
    </xf>
    <xf numFmtId="0" fontId="0" fillId="4" borderId="36" xfId="0" applyFont="1" applyFill="1" applyBorder="1" applyAlignment="1">
      <alignment vertical="top" wrapText="1"/>
    </xf>
    <xf numFmtId="0" fontId="0" fillId="10" borderId="21" xfId="0" applyFill="1" applyBorder="1" applyAlignment="1">
      <alignment horizontal="center" vertical="top" wrapText="1"/>
    </xf>
    <xf numFmtId="0" fontId="0" fillId="10" borderId="4" xfId="0" applyFill="1" applyBorder="1" applyAlignment="1">
      <alignment vertical="top" wrapText="1"/>
    </xf>
    <xf numFmtId="164" fontId="0" fillId="10" borderId="22" xfId="0" applyNumberFormat="1" applyFill="1" applyBorder="1"/>
    <xf numFmtId="0" fontId="0" fillId="10" borderId="4" xfId="0" applyFill="1" applyBorder="1"/>
    <xf numFmtId="0" fontId="2" fillId="9" borderId="15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164" fontId="2" fillId="5" borderId="39" xfId="0" applyNumberFormat="1" applyFont="1" applyFill="1" applyBorder="1" applyAlignment="1">
      <alignment horizontal="center"/>
    </xf>
    <xf numFmtId="164" fontId="2" fillId="5" borderId="40" xfId="0" applyNumberFormat="1" applyFont="1" applyFill="1" applyBorder="1" applyAlignment="1">
      <alignment horizontal="center"/>
    </xf>
    <xf numFmtId="0" fontId="2" fillId="9" borderId="37" xfId="0" applyFont="1" applyFill="1" applyBorder="1" applyAlignment="1">
      <alignment horizontal="center"/>
    </xf>
    <xf numFmtId="164" fontId="2" fillId="2" borderId="41" xfId="0" applyNumberFormat="1" applyFont="1" applyFill="1" applyBorder="1" applyAlignment="1">
      <alignment horizontal="center"/>
    </xf>
    <xf numFmtId="164" fontId="2" fillId="2" borderId="42" xfId="0" applyNumberFormat="1" applyFont="1" applyFill="1" applyBorder="1" applyAlignment="1">
      <alignment horizontal="center"/>
    </xf>
    <xf numFmtId="0" fontId="4" fillId="0" borderId="0" xfId="2"/>
    <xf numFmtId="0" fontId="4" fillId="9" borderId="17" xfId="2" applyFill="1" applyBorder="1" applyAlignment="1">
      <alignment horizontal="left"/>
    </xf>
    <xf numFmtId="0" fontId="2" fillId="9" borderId="21" xfId="0" applyFont="1" applyFill="1" applyBorder="1" applyAlignment="1">
      <alignment horizontal="center"/>
    </xf>
    <xf numFmtId="10" fontId="2" fillId="9" borderId="4" xfId="1" applyNumberFormat="1" applyFont="1" applyFill="1" applyBorder="1" applyAlignment="1">
      <alignment horizontal="center"/>
    </xf>
    <xf numFmtId="0" fontId="4" fillId="0" borderId="0" xfId="2" applyFill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right"/>
    </xf>
    <xf numFmtId="0" fontId="2" fillId="8" borderId="15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50">
    <dxf>
      <numFmt numFmtId="164" formatCode="_-[$R$-416]\ * #,##0.00_-;\-[$R$-416]\ * #,##0.00_-;_-[$R$-416]\ * &quot;-&quot;??_-;_-@_-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64" formatCode="_-[$R$-416]\ * #,##0.00_-;\-[$R$-416]\ * #,##0.00_-;_-[$R$-416]\ * &quot;-&quot;??_-;_-@_-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64" formatCode="_-[$R$-416]\ * #,##0.00_-;\-[$R$-416]\ * #,##0.00_-;_-[$R$-416]\ * &quot;-&quot;??_-;_-@_-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64" formatCode="_-[$R$-416]\ * #,##0.00_-;\-[$R$-416]\ * #,##0.00_-;_-[$R$-416]\ * &quot;-&quot;??_-;_-@_-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64" formatCode="_-[$R$-416]\ * #,##0.00_-;\-[$R$-416]\ * #,##0.00_-;_-[$R$-416]\ * &quot;-&quot;??_-;_-@_-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919A7-F4B3-4045-8555-2E755662F6A8}" name="Table1" displayName="Table1" ref="A1:C5" totalsRowShown="0" headerRowDxfId="49" headerRowBorderDxfId="48" tableBorderDxfId="47" totalsRowBorderDxfId="46">
  <tableColumns count="3">
    <tableColumn id="1" xr3:uid="{A3C89A4B-EB32-49D7-80C4-5DB2C61CF7E2}" name="DESCRIÇÃO DOS INVESTIMENTOS" dataDxfId="45"/>
    <tableColumn id="5" xr3:uid="{7E4BA8ED-774F-48C8-826B-D5F111817E55}" name="R$" dataDxfId="44"/>
    <tableColumn id="2" xr3:uid="{27E6F386-9883-4F21-815F-29C653DA8EDE}" name="(%)" dataDxfId="43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BB9691-F617-4A3F-96F6-387B86BADA9D}" name="Table13" displayName="Table13" ref="A7:C13" totalsRowShown="0" headerRowDxfId="42" headerRowBorderDxfId="41" tableBorderDxfId="40" totalsRowBorderDxfId="39">
  <tableColumns count="3">
    <tableColumn id="1" xr3:uid="{F821FFF6-1D61-4A4D-A8AD-2AD5AEC0ECCE}" name="FONTES DE RECURSOS" dataDxfId="38"/>
    <tableColumn id="5" xr3:uid="{B3F9E0EE-EEAF-4D8C-B601-CCE55CE8F859}" name="R$" dataDxfId="37"/>
    <tableColumn id="2" xr3:uid="{B707D93C-B3C2-4267-83D7-0F2F63D542DB}" name="(%)" dataDxfId="36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94DACD-62AA-4981-A7B8-0DBFBCC97F29}" name="Table17" displayName="Table17" ref="E2:F5" totalsRowShown="0" headerRowDxfId="35" headerRowBorderDxfId="34" tableBorderDxfId="33" totalsRowBorderDxfId="32">
  <tableColumns count="2">
    <tableColumn id="1" xr3:uid="{BA8FF43B-5171-42B0-BA41-A86718B6234A}" name="DISCRIMINAÇÃO" dataDxfId="31"/>
    <tableColumn id="5" xr3:uid="{4D31A157-88FA-44C5-8D6D-A9A56AB14A46}" name="VALOR" dataDxfId="30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1CDB4-8D40-4734-9676-C46240E45941}" name="Table18" displayName="Table18" ref="E8:F11" totalsRowShown="0" headerRowDxfId="29" headerRowBorderDxfId="28" tableBorderDxfId="27" totalsRowBorderDxfId="26">
  <tableColumns count="2">
    <tableColumn id="1" xr3:uid="{D3CF10D8-63F5-4287-8DC9-CAE7B06371B8}" name="DISCRIMINAÇÃO" dataDxfId="25"/>
    <tableColumn id="5" xr3:uid="{F885156E-74A4-476A-9E78-71C3C8381FEF}" name="VALOR" dataDxfId="24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D1D32F-1A06-4298-92E2-A63D37C805F8}" name="Table19" displayName="Table19" ref="A14:B17" totalsRowShown="0" headerRowDxfId="23" headerRowBorderDxfId="22" tableBorderDxfId="21" totalsRowBorderDxfId="20">
  <tableColumns count="2">
    <tableColumn id="1" xr3:uid="{A977E00D-67C9-49AB-82FF-50413E67A1DD}" name="DISCRIMINAÇÃO" dataDxfId="19"/>
    <tableColumn id="5" xr3:uid="{A2C30D52-72DB-4036-82DD-06EF30391731}" name="VALOR" dataDxfId="18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7AE43D-F15E-4C40-B716-D9405B1A8968}" name="Table110" displayName="Table110" ref="A20:B23" totalsRowShown="0" headerRowDxfId="17" headerRowBorderDxfId="16" tableBorderDxfId="15" totalsRowBorderDxfId="14">
  <tableColumns count="2">
    <tableColumn id="1" xr3:uid="{C7214112-0C24-4CCD-85C0-326E04461A14}" name="DISCRIMINAÇÃO" dataDxfId="13"/>
    <tableColumn id="5" xr3:uid="{4E12ACE9-88D9-4790-92EF-068FE35EE087}" name="VALOR" dataDxfId="12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7993E4-DE89-4598-8FF5-5B80C3F771EE}" name="Table111" displayName="Table111" ref="E14:F17" totalsRowShown="0" headerRowDxfId="11" headerRowBorderDxfId="10" tableBorderDxfId="9" totalsRowBorderDxfId="8">
  <tableColumns count="2">
    <tableColumn id="1" xr3:uid="{064E1110-5C61-43EC-919B-4EEA2F320A5C}" name="DISCRIMINAÇÃO" dataDxfId="7"/>
    <tableColumn id="5" xr3:uid="{7F2D6C27-D5F8-459A-A92E-4D8C3BB69B0E}" name="VALOR" dataDxfId="6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7ED98DD-FB52-4569-82B0-C184D5F09A9F}" name="Table113" displayName="Table113" ref="E20:F34" totalsRowShown="0" headerRowDxfId="5" headerRowBorderDxfId="4" tableBorderDxfId="3" totalsRowBorderDxfId="2">
  <tableColumns count="2">
    <tableColumn id="1" xr3:uid="{C0C6033B-3592-47A7-86C8-9B7FCEF74E2E}" name="DISCRIMINAÇÃO" dataDxfId="1"/>
    <tableColumn id="5" xr3:uid="{A2509C31-B820-4EB0-B06E-CA03DCB4DC6A}" name="VALOR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ornalcontabil.com.br/tabela-de-aliquotas-do-simples-nacional-2020/" TargetMode="External"/><Relationship Id="rId2" Type="http://schemas.openxmlformats.org/officeDocument/2006/relationships/hyperlink" Target="http://www8.receita.fazenda.gov.br/SimplesNacional/Documentos/Pagina.aspx?id=3" TargetMode="External"/><Relationship Id="rId1" Type="http://schemas.openxmlformats.org/officeDocument/2006/relationships/hyperlink" Target="http://www.portaltributario.com.br/glossario.ht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efis.com.br/o-que-e-iof/" TargetMode="External"/><Relationship Id="rId2" Type="http://schemas.openxmlformats.org/officeDocument/2006/relationships/hyperlink" Target="https://www.jornalcontabil.com.br/como-se-calcula-dre/" TargetMode="External"/><Relationship Id="rId1" Type="http://schemas.openxmlformats.org/officeDocument/2006/relationships/hyperlink" Target="http://www.portaldecontabilidade.com.br/guia/demonstracaodoresultado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showGridLines="0" tabSelected="1" zoomScale="122" workbookViewId="0"/>
  </sheetViews>
  <sheetFormatPr defaultRowHeight="14.5" x14ac:dyDescent="0.35"/>
  <cols>
    <col min="1" max="1" width="42.08984375" bestFit="1" customWidth="1"/>
    <col min="2" max="2" width="13" bestFit="1" customWidth="1"/>
    <col min="3" max="3" width="7.26953125" bestFit="1" customWidth="1"/>
  </cols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 t="s">
        <v>3</v>
      </c>
      <c r="B2" s="5">
        <v>40000</v>
      </c>
      <c r="C2" s="6">
        <f>Table1[[#This Row],[R$]]/B5</f>
        <v>0.45714285714285713</v>
      </c>
    </row>
    <row r="3" spans="1:3" x14ac:dyDescent="0.35">
      <c r="A3" s="4" t="s">
        <v>4</v>
      </c>
      <c r="B3" s="5">
        <v>35000</v>
      </c>
      <c r="C3" s="6">
        <f>Table1[[#This Row],[R$]]/B5</f>
        <v>0.4</v>
      </c>
    </row>
    <row r="4" spans="1:3" x14ac:dyDescent="0.35">
      <c r="A4" s="4" t="s">
        <v>5</v>
      </c>
      <c r="B4" s="5">
        <v>12500</v>
      </c>
      <c r="C4" s="6">
        <f>Table1[[#This Row],[R$]]/B5</f>
        <v>0.14285714285714285</v>
      </c>
    </row>
    <row r="5" spans="1:3" x14ac:dyDescent="0.35">
      <c r="A5" s="7" t="s">
        <v>6</v>
      </c>
      <c r="B5" s="8">
        <f>SUM(B2:B4)</f>
        <v>87500</v>
      </c>
      <c r="C5" s="9">
        <f>SUM(C2:C4)</f>
        <v>1</v>
      </c>
    </row>
    <row r="7" spans="1:3" x14ac:dyDescent="0.35">
      <c r="A7" s="1" t="s">
        <v>7</v>
      </c>
      <c r="B7" s="10" t="s">
        <v>1</v>
      </c>
      <c r="C7" s="11" t="s">
        <v>2</v>
      </c>
    </row>
    <row r="8" spans="1:3" x14ac:dyDescent="0.35">
      <c r="A8" s="12" t="s">
        <v>8</v>
      </c>
      <c r="B8" s="5">
        <v>22500</v>
      </c>
      <c r="C8" s="15">
        <f>Table13[[#This Row],[R$]]/$B$13</f>
        <v>0.25714285714285712</v>
      </c>
    </row>
    <row r="9" spans="1:3" x14ac:dyDescent="0.35">
      <c r="A9" s="12" t="s">
        <v>10</v>
      </c>
      <c r="B9" s="5">
        <v>0</v>
      </c>
      <c r="C9" s="15">
        <f>Table13[[#This Row],[R$]]/$B$13</f>
        <v>0</v>
      </c>
    </row>
    <row r="10" spans="1:3" x14ac:dyDescent="0.35">
      <c r="A10" s="12" t="s">
        <v>11</v>
      </c>
      <c r="B10" s="5">
        <v>40000</v>
      </c>
      <c r="C10" s="15">
        <f>Table13[[#This Row],[R$]]/$B$13</f>
        <v>0.45714285714285713</v>
      </c>
    </row>
    <row r="11" spans="1:3" x14ac:dyDescent="0.35">
      <c r="A11" s="12" t="s">
        <v>12</v>
      </c>
      <c r="B11" s="5">
        <v>0</v>
      </c>
      <c r="C11" s="15">
        <f>Table13[[#This Row],[R$]]/$B$13</f>
        <v>0</v>
      </c>
    </row>
    <row r="12" spans="1:3" x14ac:dyDescent="0.35">
      <c r="A12" s="12" t="s">
        <v>9</v>
      </c>
      <c r="B12" s="5">
        <v>25000</v>
      </c>
      <c r="C12" s="15">
        <f>Table13[[#This Row],[R$]]/$B$13</f>
        <v>0.2857142857142857</v>
      </c>
    </row>
    <row r="13" spans="1:3" x14ac:dyDescent="0.35">
      <c r="A13" s="13" t="s">
        <v>6</v>
      </c>
      <c r="B13" s="14">
        <f>SUM(B8:B12)</f>
        <v>87500</v>
      </c>
      <c r="C13" s="16">
        <f>SUM(C8:C12)</f>
        <v>0.99999999999999989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42DB-3E86-4C7A-AC4E-E41521EF6E92}">
  <dimension ref="A1:D19"/>
  <sheetViews>
    <sheetView showGridLines="0" zoomScale="107" workbookViewId="0">
      <selection activeCell="D2" sqref="D2"/>
    </sheetView>
  </sheetViews>
  <sheetFormatPr defaultRowHeight="14.5" x14ac:dyDescent="0.35"/>
  <cols>
    <col min="1" max="1" width="40.08984375" bestFit="1" customWidth="1"/>
    <col min="2" max="2" width="17.6328125" customWidth="1"/>
    <col min="3" max="3" width="29.90625" bestFit="1" customWidth="1"/>
    <col min="4" max="4" width="22.1796875" customWidth="1"/>
  </cols>
  <sheetData>
    <row r="1" spans="1:4" ht="15" thickBot="1" x14ac:dyDescent="0.4">
      <c r="A1" s="76" t="s">
        <v>69</v>
      </c>
      <c r="B1" s="82" t="s">
        <v>30</v>
      </c>
      <c r="C1" s="79" t="s">
        <v>70</v>
      </c>
      <c r="D1" s="79" t="s">
        <v>72</v>
      </c>
    </row>
    <row r="2" spans="1:4" ht="15" thickBot="1" x14ac:dyDescent="0.4">
      <c r="A2" s="77" t="s">
        <v>71</v>
      </c>
      <c r="B2" s="83">
        <v>150000</v>
      </c>
      <c r="C2" s="80" t="s">
        <v>13</v>
      </c>
      <c r="D2" s="86" t="s">
        <v>85</v>
      </c>
    </row>
    <row r="3" spans="1:4" ht="15" thickBot="1" x14ac:dyDescent="0.4">
      <c r="A3" s="78" t="s">
        <v>73</v>
      </c>
      <c r="B3" s="84">
        <f>B2*12</f>
        <v>1800000</v>
      </c>
      <c r="C3" s="81" t="s">
        <v>74</v>
      </c>
      <c r="D3" s="79" t="s">
        <v>75</v>
      </c>
    </row>
    <row r="4" spans="1:4" ht="15" thickBot="1" x14ac:dyDescent="0.4"/>
    <row r="5" spans="1:4" ht="15" thickBot="1" x14ac:dyDescent="0.4">
      <c r="A5" s="17" t="s">
        <v>14</v>
      </c>
      <c r="B5" s="18" t="s">
        <v>15</v>
      </c>
      <c r="C5" s="19" t="s">
        <v>16</v>
      </c>
      <c r="D5" s="19" t="s">
        <v>78</v>
      </c>
    </row>
    <row r="6" spans="1:4" ht="15" thickBot="1" x14ac:dyDescent="0.4">
      <c r="A6" s="91" t="s">
        <v>17</v>
      </c>
      <c r="B6" s="92"/>
      <c r="C6" s="93"/>
      <c r="D6" s="85" t="s">
        <v>84</v>
      </c>
    </row>
    <row r="7" spans="1:4" x14ac:dyDescent="0.35">
      <c r="A7" s="20" t="s">
        <v>18</v>
      </c>
      <c r="B7" s="21">
        <v>0.112</v>
      </c>
      <c r="C7" s="22">
        <f>B7*$B$2</f>
        <v>16800</v>
      </c>
      <c r="D7" s="85" t="s">
        <v>77</v>
      </c>
    </row>
    <row r="8" spans="1:4" x14ac:dyDescent="0.35">
      <c r="A8" s="26" t="s">
        <v>21</v>
      </c>
      <c r="B8" s="27">
        <v>0.11509999999999999</v>
      </c>
      <c r="C8" s="28">
        <f t="shared" ref="C8:C9" si="0">B8*$B$2</f>
        <v>17265</v>
      </c>
    </row>
    <row r="9" spans="1:4" x14ac:dyDescent="0.35">
      <c r="A9" s="23" t="s">
        <v>20</v>
      </c>
      <c r="B9" s="24">
        <v>2.4899999999999999E-2</v>
      </c>
      <c r="C9" s="25">
        <f t="shared" si="0"/>
        <v>3735</v>
      </c>
    </row>
    <row r="10" spans="1:4" x14ac:dyDescent="0.35">
      <c r="A10" s="26" t="s">
        <v>76</v>
      </c>
      <c r="B10" s="27">
        <v>7.4999999999999997E-2</v>
      </c>
      <c r="C10" s="28">
        <f t="shared" ref="C10" si="1">B10*$B$2</f>
        <v>11250</v>
      </c>
    </row>
    <row r="11" spans="1:4" x14ac:dyDescent="0.35">
      <c r="A11" s="23" t="s">
        <v>83</v>
      </c>
      <c r="B11" s="24">
        <v>0</v>
      </c>
      <c r="C11" s="25" t="s">
        <v>79</v>
      </c>
    </row>
    <row r="12" spans="1:4" ht="15" thickBot="1" x14ac:dyDescent="0.4">
      <c r="A12" s="26" t="s">
        <v>22</v>
      </c>
      <c r="B12" s="27">
        <v>0</v>
      </c>
      <c r="C12" s="28" t="s">
        <v>79</v>
      </c>
    </row>
    <row r="13" spans="1:4" ht="15" thickBot="1" x14ac:dyDescent="0.4">
      <c r="A13" s="91" t="s">
        <v>23</v>
      </c>
      <c r="B13" s="92"/>
      <c r="C13" s="93"/>
    </row>
    <row r="14" spans="1:4" ht="15" thickBot="1" x14ac:dyDescent="0.4">
      <c r="A14" s="29" t="s">
        <v>24</v>
      </c>
      <c r="B14" s="24">
        <v>0.32</v>
      </c>
      <c r="C14" s="22">
        <f>B14*B2</f>
        <v>48000</v>
      </c>
    </row>
    <row r="15" spans="1:4" ht="15" thickBot="1" x14ac:dyDescent="0.4">
      <c r="A15" s="91" t="s">
        <v>25</v>
      </c>
      <c r="B15" s="92"/>
      <c r="C15" s="93"/>
    </row>
    <row r="16" spans="1:4" ht="15" thickBot="1" x14ac:dyDescent="0.4">
      <c r="A16" s="30" t="s">
        <v>26</v>
      </c>
      <c r="B16" s="31">
        <v>0</v>
      </c>
      <c r="C16" s="32">
        <f>B16*B2</f>
        <v>0</v>
      </c>
    </row>
    <row r="17" spans="1:3" x14ac:dyDescent="0.35">
      <c r="A17" s="94" t="s">
        <v>6</v>
      </c>
      <c r="B17" s="95"/>
      <c r="C17" s="33">
        <f>SUM(C7:C12,C14,C16)</f>
        <v>97050</v>
      </c>
    </row>
    <row r="19" spans="1:3" x14ac:dyDescent="0.35">
      <c r="A19" s="87" t="s">
        <v>19</v>
      </c>
      <c r="B19" s="88">
        <v>5.5E-2</v>
      </c>
    </row>
  </sheetData>
  <mergeCells count="4">
    <mergeCell ref="A6:C6"/>
    <mergeCell ref="A13:C13"/>
    <mergeCell ref="A15:C15"/>
    <mergeCell ref="A17:B17"/>
  </mergeCells>
  <hyperlinks>
    <hyperlink ref="D7" r:id="rId1" xr:uid="{5917C8A4-23A5-4980-95B5-BBA49EB01C85}"/>
    <hyperlink ref="D6" r:id="rId2" xr:uid="{8A9E1724-22E5-48A1-8D86-745033EFC5C3}"/>
    <hyperlink ref="D2" r:id="rId3" xr:uid="{D8901945-EE48-4039-936B-CC1ABEC95948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1FB3-EC5D-4151-84C8-1304E6205AE7}">
  <dimension ref="A1:D20"/>
  <sheetViews>
    <sheetView showGridLines="0" zoomScale="109" zoomScaleNormal="122" workbookViewId="0">
      <selection activeCell="A8" sqref="A8"/>
    </sheetView>
  </sheetViews>
  <sheetFormatPr defaultRowHeight="14.5" x14ac:dyDescent="0.35"/>
  <cols>
    <col min="1" max="1" width="10.1796875" bestFit="1" customWidth="1"/>
    <col min="2" max="2" width="48.1796875" bestFit="1" customWidth="1"/>
    <col min="3" max="3" width="14.26953125" bestFit="1" customWidth="1"/>
  </cols>
  <sheetData>
    <row r="1" spans="1:4" ht="15" thickBot="1" x14ac:dyDescent="0.4">
      <c r="A1" s="96" t="s">
        <v>27</v>
      </c>
      <c r="B1" s="97"/>
      <c r="C1" s="98"/>
      <c r="D1" s="89" t="s">
        <v>80</v>
      </c>
    </row>
    <row r="2" spans="1:4" ht="15" thickBot="1" x14ac:dyDescent="0.4">
      <c r="A2" s="17" t="s">
        <v>28</v>
      </c>
      <c r="B2" s="18" t="s">
        <v>29</v>
      </c>
      <c r="C2" s="19" t="s">
        <v>30</v>
      </c>
      <c r="D2" s="90" t="s">
        <v>81</v>
      </c>
    </row>
    <row r="3" spans="1:4" x14ac:dyDescent="0.35">
      <c r="A3" s="39" t="s">
        <v>31</v>
      </c>
      <c r="B3" s="40" t="s">
        <v>67</v>
      </c>
      <c r="C3" s="41">
        <f>'ESTIMATIVAS DE IMPOSTOS'!B2</f>
        <v>150000</v>
      </c>
    </row>
    <row r="4" spans="1:4" x14ac:dyDescent="0.35">
      <c r="A4" s="36" t="s">
        <v>33</v>
      </c>
      <c r="B4" s="34" t="s">
        <v>68</v>
      </c>
      <c r="C4" s="37">
        <f>'ESTIMATIVAS DE IMPOSTOS'!C17</f>
        <v>97050</v>
      </c>
    </row>
    <row r="5" spans="1:4" x14ac:dyDescent="0.35">
      <c r="A5" s="72" t="s">
        <v>35</v>
      </c>
      <c r="B5" s="73" t="s">
        <v>36</v>
      </c>
      <c r="C5" s="74">
        <f>C3-C4</f>
        <v>52950</v>
      </c>
    </row>
    <row r="6" spans="1:4" x14ac:dyDescent="0.35">
      <c r="A6" s="36" t="s">
        <v>33</v>
      </c>
      <c r="B6" s="34" t="s">
        <v>37</v>
      </c>
      <c r="C6" s="37">
        <v>10000</v>
      </c>
    </row>
    <row r="7" spans="1:4" x14ac:dyDescent="0.35">
      <c r="A7" s="72" t="s">
        <v>35</v>
      </c>
      <c r="B7" s="73" t="s">
        <v>38</v>
      </c>
      <c r="C7" s="74">
        <f>C3-SUM(C4,C6)</f>
        <v>42950</v>
      </c>
    </row>
    <row r="8" spans="1:4" x14ac:dyDescent="0.35">
      <c r="A8" s="36" t="s">
        <v>33</v>
      </c>
      <c r="B8" s="35" t="s">
        <v>39</v>
      </c>
      <c r="C8" s="37">
        <f>C3*2%</f>
        <v>3000</v>
      </c>
    </row>
    <row r="9" spans="1:4" x14ac:dyDescent="0.35">
      <c r="A9" s="36" t="s">
        <v>33</v>
      </c>
      <c r="B9" s="35" t="s">
        <v>40</v>
      </c>
      <c r="C9" s="37">
        <f>6.38%*C6</f>
        <v>638</v>
      </c>
      <c r="D9" s="85" t="s">
        <v>82</v>
      </c>
    </row>
    <row r="10" spans="1:4" x14ac:dyDescent="0.35">
      <c r="A10" s="36" t="s">
        <v>33</v>
      </c>
      <c r="B10" s="35" t="s">
        <v>41</v>
      </c>
      <c r="C10" s="37">
        <v>0</v>
      </c>
    </row>
    <row r="11" spans="1:4" x14ac:dyDescent="0.35">
      <c r="A11" s="38" t="s">
        <v>33</v>
      </c>
      <c r="B11" s="35" t="s">
        <v>42</v>
      </c>
      <c r="C11" s="37">
        <v>9500</v>
      </c>
    </row>
    <row r="12" spans="1:4" x14ac:dyDescent="0.35">
      <c r="A12" s="38" t="s">
        <v>33</v>
      </c>
      <c r="B12" s="35" t="s">
        <v>43</v>
      </c>
      <c r="C12" s="37">
        <v>14000</v>
      </c>
    </row>
    <row r="13" spans="1:4" x14ac:dyDescent="0.35">
      <c r="A13" s="38" t="s">
        <v>33</v>
      </c>
      <c r="B13" s="35" t="s">
        <v>44</v>
      </c>
      <c r="C13" s="37">
        <v>0</v>
      </c>
    </row>
    <row r="14" spans="1:4" x14ac:dyDescent="0.35">
      <c r="A14" s="38" t="s">
        <v>33</v>
      </c>
      <c r="B14" s="35"/>
      <c r="C14" s="37"/>
    </row>
    <row r="15" spans="1:4" x14ac:dyDescent="0.35">
      <c r="A15" s="38" t="s">
        <v>33</v>
      </c>
      <c r="B15" s="35" t="s">
        <v>45</v>
      </c>
      <c r="C15" s="37">
        <v>0</v>
      </c>
    </row>
    <row r="16" spans="1:4" x14ac:dyDescent="0.35">
      <c r="A16" s="38" t="s">
        <v>33</v>
      </c>
      <c r="B16" s="35" t="s">
        <v>46</v>
      </c>
      <c r="C16" s="37">
        <v>1000</v>
      </c>
    </row>
    <row r="17" spans="1:4" x14ac:dyDescent="0.35">
      <c r="A17" s="38" t="s">
        <v>33</v>
      </c>
      <c r="B17" s="35" t="s">
        <v>47</v>
      </c>
      <c r="C17" s="37">
        <v>200</v>
      </c>
    </row>
    <row r="18" spans="1:4" x14ac:dyDescent="0.35">
      <c r="A18" s="72" t="s">
        <v>35</v>
      </c>
      <c r="B18" s="75" t="s">
        <v>48</v>
      </c>
      <c r="C18" s="74">
        <f>C7-SUM(C8:C17)</f>
        <v>14612</v>
      </c>
    </row>
    <row r="19" spans="1:4" ht="15" thickBot="1" x14ac:dyDescent="0.4">
      <c r="A19" s="42" t="s">
        <v>33</v>
      </c>
      <c r="B19" s="43" t="s">
        <v>19</v>
      </c>
      <c r="C19" s="44">
        <f>(C18*15%)+((C18-20000)*'ESTIMATIVAS DE IMPOSTOS'!B19)</f>
        <v>1895.4599999999998</v>
      </c>
    </row>
    <row r="20" spans="1:4" ht="15" thickBot="1" x14ac:dyDescent="0.4">
      <c r="A20" s="45" t="s">
        <v>35</v>
      </c>
      <c r="B20" s="46" t="s">
        <v>49</v>
      </c>
      <c r="C20" s="47">
        <f>C18-C19</f>
        <v>12716.54</v>
      </c>
      <c r="D20">
        <f>C20/C3</f>
        <v>8.4776933333333346E-2</v>
      </c>
    </row>
  </sheetData>
  <mergeCells count="1">
    <mergeCell ref="A1:C1"/>
  </mergeCells>
  <hyperlinks>
    <hyperlink ref="D1" r:id="rId1" xr:uid="{E98ECFCA-6A7C-469A-8B51-622DF58C5934}"/>
    <hyperlink ref="D2" r:id="rId2" xr:uid="{7EBC9976-F773-466C-BDFC-0E5A2C6D3668}"/>
    <hyperlink ref="D9" r:id="rId3" xr:uid="{1706622D-65C8-4063-8098-596208EDFBC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81A6-CC8C-4DD8-993C-2CC9DC3C6D2F}">
  <dimension ref="A1:F34"/>
  <sheetViews>
    <sheetView showGridLines="0" zoomScale="94" workbookViewId="0">
      <selection activeCell="B15" sqref="B15"/>
    </sheetView>
  </sheetViews>
  <sheetFormatPr defaultRowHeight="14.5" x14ac:dyDescent="0.35"/>
  <cols>
    <col min="1" max="1" width="25.90625" bestFit="1" customWidth="1"/>
    <col min="2" max="2" width="48.1796875" bestFit="1" customWidth="1"/>
    <col min="3" max="3" width="15.26953125" bestFit="1" customWidth="1"/>
    <col min="5" max="5" width="42.453125" customWidth="1"/>
    <col min="6" max="6" width="15.26953125" customWidth="1"/>
  </cols>
  <sheetData>
    <row r="1" spans="1:6" ht="15" thickBot="1" x14ac:dyDescent="0.4">
      <c r="A1" s="99" t="s">
        <v>50</v>
      </c>
      <c r="B1" s="100"/>
      <c r="C1" s="101"/>
      <c r="E1" s="96" t="s">
        <v>52</v>
      </c>
      <c r="F1" s="98"/>
    </row>
    <row r="2" spans="1:6" ht="15" thickBot="1" x14ac:dyDescent="0.4">
      <c r="A2" s="17" t="s">
        <v>28</v>
      </c>
      <c r="B2" s="18" t="s">
        <v>29</v>
      </c>
      <c r="C2" s="19" t="s">
        <v>30</v>
      </c>
      <c r="E2" s="58" t="s">
        <v>29</v>
      </c>
      <c r="F2" s="59" t="s">
        <v>30</v>
      </c>
    </row>
    <row r="3" spans="1:6" x14ac:dyDescent="0.35">
      <c r="A3" s="39" t="s">
        <v>31</v>
      </c>
      <c r="B3" s="40" t="s">
        <v>32</v>
      </c>
      <c r="C3" s="41">
        <v>82985</v>
      </c>
      <c r="E3" s="56" t="s">
        <v>32</v>
      </c>
      <c r="F3" s="57">
        <v>82985</v>
      </c>
    </row>
    <row r="4" spans="1:6" ht="15" thickBot="1" x14ac:dyDescent="0.4">
      <c r="A4" s="36" t="s">
        <v>33</v>
      </c>
      <c r="B4" s="34" t="s">
        <v>34</v>
      </c>
      <c r="C4" s="37">
        <f>C3*12.42%</f>
        <v>10306.737000000001</v>
      </c>
      <c r="E4" s="52" t="s">
        <v>51</v>
      </c>
      <c r="F4" s="60">
        <f>C11</f>
        <v>37704.360995999996</v>
      </c>
    </row>
    <row r="5" spans="1:6" x14ac:dyDescent="0.35">
      <c r="A5" s="38" t="s">
        <v>35</v>
      </c>
      <c r="B5" s="34" t="s">
        <v>36</v>
      </c>
      <c r="C5" s="37">
        <f>C3-C4</f>
        <v>72678.263000000006</v>
      </c>
      <c r="E5" s="54" t="s">
        <v>53</v>
      </c>
      <c r="F5" s="61">
        <f>F4/F3</f>
        <v>0.45435152131108025</v>
      </c>
    </row>
    <row r="6" spans="1:6" ht="15" thickBot="1" x14ac:dyDescent="0.4">
      <c r="A6" s="36" t="s">
        <v>33</v>
      </c>
      <c r="B6" s="34" t="s">
        <v>37</v>
      </c>
      <c r="C6" s="37">
        <v>25075.58</v>
      </c>
    </row>
    <row r="7" spans="1:6" ht="15" thickBot="1" x14ac:dyDescent="0.4">
      <c r="A7" s="38" t="s">
        <v>35</v>
      </c>
      <c r="B7" s="34" t="s">
        <v>38</v>
      </c>
      <c r="C7" s="37">
        <f>C3-SUM(C4,C6)</f>
        <v>47602.682999999997</v>
      </c>
      <c r="E7" s="96" t="s">
        <v>54</v>
      </c>
      <c r="F7" s="98"/>
    </row>
    <row r="8" spans="1:6" ht="15" thickBot="1" x14ac:dyDescent="0.4">
      <c r="A8" s="36" t="s">
        <v>33</v>
      </c>
      <c r="B8" s="35" t="s">
        <v>39</v>
      </c>
      <c r="C8" s="37">
        <v>8298.5</v>
      </c>
      <c r="E8" s="58" t="s">
        <v>29</v>
      </c>
      <c r="F8" s="59" t="s">
        <v>30</v>
      </c>
    </row>
    <row r="9" spans="1:6" x14ac:dyDescent="0.35">
      <c r="A9" s="36" t="s">
        <v>33</v>
      </c>
      <c r="B9" s="35" t="s">
        <v>40</v>
      </c>
      <c r="C9" s="37">
        <f>6.38%*C6</f>
        <v>1599.8220040000001</v>
      </c>
      <c r="E9" s="56" t="s">
        <v>55</v>
      </c>
      <c r="F9" s="57">
        <f>SUM(DRE!C11,DRE!C12,DRE!C14,DRE!C16,DRE!C17)</f>
        <v>24700</v>
      </c>
    </row>
    <row r="10" spans="1:6" ht="15" thickBot="1" x14ac:dyDescent="0.4">
      <c r="A10" s="49" t="s">
        <v>33</v>
      </c>
      <c r="B10" s="48" t="s">
        <v>41</v>
      </c>
      <c r="C10" s="44">
        <v>0</v>
      </c>
      <c r="E10" s="52" t="s">
        <v>53</v>
      </c>
      <c r="F10" s="53">
        <f>F5</f>
        <v>0.45435152131108025</v>
      </c>
    </row>
    <row r="11" spans="1:6" ht="15" thickBot="1" x14ac:dyDescent="0.4">
      <c r="A11" s="45" t="s">
        <v>35</v>
      </c>
      <c r="B11" s="46" t="s">
        <v>51</v>
      </c>
      <c r="C11" s="47">
        <f>C3-SUM(C4,C6,C8:C10,C10)</f>
        <v>37704.360995999996</v>
      </c>
      <c r="E11" s="54" t="s">
        <v>56</v>
      </c>
      <c r="F11" s="55">
        <f>F9/F10</f>
        <v>54363.194226191845</v>
      </c>
    </row>
    <row r="12" spans="1:6" ht="15" thickBot="1" x14ac:dyDescent="0.4"/>
    <row r="13" spans="1:6" x14ac:dyDescent="0.35">
      <c r="A13" s="102" t="s">
        <v>57</v>
      </c>
      <c r="B13" s="103"/>
      <c r="E13" s="102" t="s">
        <v>62</v>
      </c>
      <c r="F13" s="103"/>
    </row>
    <row r="14" spans="1:6" ht="15" thickBot="1" x14ac:dyDescent="0.4">
      <c r="A14" s="62" t="s">
        <v>29</v>
      </c>
      <c r="B14" s="62" t="s">
        <v>30</v>
      </c>
      <c r="E14" s="62" t="s">
        <v>29</v>
      </c>
      <c r="F14" s="62" t="s">
        <v>30</v>
      </c>
    </row>
    <row r="15" spans="1:6" x14ac:dyDescent="0.35">
      <c r="A15" s="56" t="s">
        <v>32</v>
      </c>
      <c r="B15" s="57">
        <f>DRE!C3</f>
        <v>150000</v>
      </c>
      <c r="E15" s="63" t="s">
        <v>60</v>
      </c>
      <c r="F15" s="64">
        <f>'INVESTIMENTOS E RECURSOS'!$B$5</f>
        <v>87500</v>
      </c>
    </row>
    <row r="16" spans="1:6" ht="15" thickBot="1" x14ac:dyDescent="0.4">
      <c r="A16" s="50" t="s">
        <v>49</v>
      </c>
      <c r="B16" s="51">
        <f>DRE!$C$20</f>
        <v>12716.54</v>
      </c>
      <c r="E16" s="63" t="s">
        <v>49</v>
      </c>
      <c r="F16" s="64">
        <f>DRE!$C$20</f>
        <v>12716.54</v>
      </c>
    </row>
    <row r="17" spans="1:6" x14ac:dyDescent="0.35">
      <c r="A17" s="65" t="s">
        <v>58</v>
      </c>
      <c r="B17" s="67">
        <f>B16/B15</f>
        <v>8.4776933333333346E-2</v>
      </c>
      <c r="E17" s="54" t="s">
        <v>63</v>
      </c>
      <c r="F17" s="68">
        <f>F15/F16</f>
        <v>6.8808024824362599</v>
      </c>
    </row>
    <row r="18" spans="1:6" ht="15" thickBot="1" x14ac:dyDescent="0.4"/>
    <row r="19" spans="1:6" ht="15" thickBot="1" x14ac:dyDescent="0.4">
      <c r="A19" s="102" t="s">
        <v>59</v>
      </c>
      <c r="B19" s="103"/>
      <c r="D19" s="96" t="s">
        <v>64</v>
      </c>
      <c r="E19" s="104"/>
      <c r="F19" s="103"/>
    </row>
    <row r="20" spans="1:6" ht="15" thickBot="1" x14ac:dyDescent="0.4">
      <c r="A20" s="62" t="s">
        <v>29</v>
      </c>
      <c r="B20" s="62" t="s">
        <v>30</v>
      </c>
      <c r="D20" s="58" t="s">
        <v>65</v>
      </c>
      <c r="E20" s="62" t="s">
        <v>29</v>
      </c>
      <c r="F20" s="62" t="s">
        <v>30</v>
      </c>
    </row>
    <row r="21" spans="1:6" x14ac:dyDescent="0.35">
      <c r="A21" s="56" t="s">
        <v>60</v>
      </c>
      <c r="B21" s="57">
        <f>'INVESTIMENTOS E RECURSOS'!$B$5</f>
        <v>87500</v>
      </c>
      <c r="D21" s="69">
        <v>0</v>
      </c>
      <c r="E21" s="56" t="s">
        <v>60</v>
      </c>
      <c r="F21" s="57">
        <f>-'INVESTIMENTOS E RECURSOS'!$B$5</f>
        <v>-87500</v>
      </c>
    </row>
    <row r="22" spans="1:6" x14ac:dyDescent="0.35">
      <c r="A22" s="50" t="s">
        <v>49</v>
      </c>
      <c r="B22" s="51">
        <f>DRE!$C$20</f>
        <v>12716.54</v>
      </c>
      <c r="D22" s="70">
        <v>1</v>
      </c>
      <c r="E22" s="50" t="s">
        <v>49</v>
      </c>
      <c r="F22" s="51">
        <f>DRE!$C$20</f>
        <v>12716.54</v>
      </c>
    </row>
    <row r="23" spans="1:6" x14ac:dyDescent="0.35">
      <c r="A23" s="65" t="s">
        <v>61</v>
      </c>
      <c r="B23" s="67">
        <f>B22/B21</f>
        <v>0.14533188571428574</v>
      </c>
      <c r="D23" s="71">
        <v>2</v>
      </c>
      <c r="E23" s="50" t="s">
        <v>49</v>
      </c>
      <c r="F23" s="51">
        <f>DRE!$C$20</f>
        <v>12716.54</v>
      </c>
    </row>
    <row r="24" spans="1:6" x14ac:dyDescent="0.35">
      <c r="D24" s="70">
        <v>3</v>
      </c>
      <c r="E24" s="50" t="s">
        <v>49</v>
      </c>
      <c r="F24" s="51">
        <f>DRE!$C$20</f>
        <v>12716.54</v>
      </c>
    </row>
    <row r="25" spans="1:6" x14ac:dyDescent="0.35">
      <c r="D25" s="71">
        <v>4</v>
      </c>
      <c r="E25" s="50" t="s">
        <v>49</v>
      </c>
      <c r="F25" s="51">
        <f>DRE!$C$20</f>
        <v>12716.54</v>
      </c>
    </row>
    <row r="26" spans="1:6" x14ac:dyDescent="0.35">
      <c r="D26" s="70">
        <v>5</v>
      </c>
      <c r="E26" s="50" t="s">
        <v>49</v>
      </c>
      <c r="F26" s="51">
        <f>DRE!$C$20</f>
        <v>12716.54</v>
      </c>
    </row>
    <row r="27" spans="1:6" x14ac:dyDescent="0.35">
      <c r="D27" s="71">
        <v>6</v>
      </c>
      <c r="E27" s="50" t="s">
        <v>49</v>
      </c>
      <c r="F27" s="51">
        <f>DRE!$C$20</f>
        <v>12716.54</v>
      </c>
    </row>
    <row r="28" spans="1:6" x14ac:dyDescent="0.35">
      <c r="D28" s="70">
        <v>7</v>
      </c>
      <c r="E28" s="50" t="s">
        <v>49</v>
      </c>
      <c r="F28" s="51">
        <f>DRE!$C$20</f>
        <v>12716.54</v>
      </c>
    </row>
    <row r="29" spans="1:6" x14ac:dyDescent="0.35">
      <c r="D29" s="71">
        <v>8</v>
      </c>
      <c r="E29" s="50" t="s">
        <v>49</v>
      </c>
      <c r="F29" s="51">
        <f>DRE!$C$20</f>
        <v>12716.54</v>
      </c>
    </row>
    <row r="30" spans="1:6" x14ac:dyDescent="0.35">
      <c r="D30" s="70">
        <v>9</v>
      </c>
      <c r="E30" s="50" t="s">
        <v>49</v>
      </c>
      <c r="F30" s="51">
        <f>DRE!$C$20</f>
        <v>12716.54</v>
      </c>
    </row>
    <row r="31" spans="1:6" x14ac:dyDescent="0.35">
      <c r="D31" s="71">
        <v>10</v>
      </c>
      <c r="E31" s="50" t="s">
        <v>49</v>
      </c>
      <c r="F31" s="51">
        <f>DRE!$C$20</f>
        <v>12716.54</v>
      </c>
    </row>
    <row r="32" spans="1:6" x14ac:dyDescent="0.35">
      <c r="D32" s="70">
        <v>11</v>
      </c>
      <c r="E32" s="50" t="s">
        <v>49</v>
      </c>
      <c r="F32" s="51">
        <f>DRE!$C$20</f>
        <v>12716.54</v>
      </c>
    </row>
    <row r="33" spans="4:6" x14ac:dyDescent="0.35">
      <c r="D33" s="71">
        <v>12</v>
      </c>
      <c r="E33" s="50" t="s">
        <v>49</v>
      </c>
      <c r="F33" s="51">
        <f>DRE!$C$20</f>
        <v>12716.54</v>
      </c>
    </row>
    <row r="34" spans="4:6" ht="15" thickBot="1" x14ac:dyDescent="0.4">
      <c r="D34" s="66"/>
      <c r="E34" s="65" t="s">
        <v>66</v>
      </c>
      <c r="F34" s="67">
        <f>IRR(F21:F33)</f>
        <v>9.8004736304832418E-2</v>
      </c>
    </row>
  </sheetData>
  <mergeCells count="7">
    <mergeCell ref="A1:C1"/>
    <mergeCell ref="A13:B13"/>
    <mergeCell ref="E1:F1"/>
    <mergeCell ref="E7:F7"/>
    <mergeCell ref="A19:B19"/>
    <mergeCell ref="E13:F13"/>
    <mergeCell ref="D19:F19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INVESTIMENTOS E RECURSOS</vt:lpstr>
      <vt:lpstr>ESTIMATIVAS DE IMPOSTOS</vt:lpstr>
      <vt:lpstr>DRE</vt:lpstr>
      <vt:lpstr>INDICADORES DE VIABILIDADE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2021-04-16T22:26:05Z</dcterms:modified>
</cp:coreProperties>
</file>