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servidorescola\PROFESSORES\PROFESSORES\JULIO CESAR\Curso Excel\"/>
    </mc:Choice>
  </mc:AlternateContent>
  <xr:revisionPtr revIDLastSave="0" documentId="13_ncr:1_{F73F6260-A7CF-43D5-8AD8-CD6F42C232CD}" xr6:coauthVersionLast="47" xr6:coauthVersionMax="47" xr10:uidLastSave="{00000000-0000-0000-0000-000000000000}"/>
  <bookViews>
    <workbookView xWindow="1170" yWindow="1170" windowWidth="16695" windowHeight="9495" firstSheet="22" activeTab="22" xr2:uid="{2AFD0F70-6365-4270-BC21-75214B3A190C}"/>
  </bookViews>
  <sheets>
    <sheet name="Aula 1" sheetId="1" r:id="rId1"/>
    <sheet name="Aula 2" sheetId="2" r:id="rId2"/>
    <sheet name="Aula 3" sheetId="3" r:id="rId3"/>
    <sheet name="Aula 3.1" sheetId="4" r:id="rId4"/>
    <sheet name="Aula 4 - Cadastro de Produtos" sheetId="5" r:id="rId5"/>
    <sheet name="Aula - 4 Cadastro de Fornecedor" sheetId="6" r:id="rId6"/>
    <sheet name="Aula 4 – Cadastro de Lojas" sheetId="7" r:id="rId7"/>
    <sheet name="Aula 5" sheetId="8" r:id="rId8"/>
    <sheet name="Aula 6" sheetId="9" r:id="rId9"/>
    <sheet name="Aula 7" sheetId="10" r:id="rId10"/>
    <sheet name="Aula 8 - Entradas" sheetId="11" r:id="rId11"/>
    <sheet name="Aula 8 - Saídas" sheetId="12" r:id="rId12"/>
    <sheet name="Aula 09" sheetId="13" r:id="rId13"/>
    <sheet name="Aula 10" sheetId="15" r:id="rId14"/>
    <sheet name="Aula 11" sheetId="16" r:id="rId15"/>
    <sheet name="Aula 12 - casdastro de produtos" sheetId="17" r:id="rId16"/>
    <sheet name="Aula 12 - Entradas" sheetId="18" r:id="rId17"/>
    <sheet name="Aula 12 - Saídas" sheetId="19" r:id="rId18"/>
    <sheet name="Aula 12 - Controle de Estoque" sheetId="20" r:id="rId19"/>
    <sheet name="Aula 13 - Controle de Estoque" sheetId="22" r:id="rId20"/>
    <sheet name="Aula 14 - Contas a Pagar" sheetId="23" r:id="rId21"/>
    <sheet name="Aula 15 – Contas a Pagar Gráf" sheetId="24" r:id="rId22"/>
    <sheet name="Aula 16 – Menu" sheetId="26" r:id="rId23"/>
    <sheet name="Aula 16 - Dashboard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7" l="1"/>
  <c r="F11" i="27"/>
  <c r="A11" i="27"/>
  <c r="A6" i="27"/>
  <c r="F11" i="24"/>
  <c r="E11" i="24"/>
  <c r="I11" i="24" s="1"/>
  <c r="C11" i="24"/>
  <c r="G11" i="24" s="1"/>
  <c r="C10" i="24"/>
  <c r="G9" i="24"/>
  <c r="H9" i="24" s="1"/>
  <c r="C9" i="24"/>
  <c r="G8" i="24"/>
  <c r="F8" i="24"/>
  <c r="E8" i="24"/>
  <c r="I8" i="24" s="1"/>
  <c r="C8" i="24"/>
  <c r="H8" i="24" s="1"/>
  <c r="F7" i="24"/>
  <c r="E7" i="24"/>
  <c r="I7" i="24" s="1"/>
  <c r="C7" i="24"/>
  <c r="I8" i="23"/>
  <c r="I11" i="23"/>
  <c r="I7" i="23"/>
  <c r="H8" i="23"/>
  <c r="H9" i="23"/>
  <c r="H10" i="23"/>
  <c r="H11" i="23"/>
  <c r="H7" i="23"/>
  <c r="G8" i="23"/>
  <c r="G9" i="23"/>
  <c r="G10" i="23"/>
  <c r="G11" i="23"/>
  <c r="G7" i="23"/>
  <c r="F8" i="23"/>
  <c r="F11" i="23"/>
  <c r="F7" i="23"/>
  <c r="E8" i="23"/>
  <c r="E11" i="23"/>
  <c r="E7" i="23"/>
  <c r="C8" i="23"/>
  <c r="C9" i="23"/>
  <c r="C10" i="23"/>
  <c r="C11" i="23"/>
  <c r="C7" i="23"/>
  <c r="M6" i="22"/>
  <c r="M7" i="22"/>
  <c r="M8" i="22"/>
  <c r="M9" i="22"/>
  <c r="M10" i="22"/>
  <c r="M11" i="22"/>
  <c r="M12" i="22"/>
  <c r="M5" i="22"/>
  <c r="L6" i="22"/>
  <c r="L7" i="22"/>
  <c r="L8" i="22"/>
  <c r="L9" i="22"/>
  <c r="L10" i="22"/>
  <c r="L11" i="22"/>
  <c r="L12" i="22"/>
  <c r="L5" i="22"/>
  <c r="K6" i="22"/>
  <c r="K7" i="22"/>
  <c r="K8" i="22"/>
  <c r="K9" i="22"/>
  <c r="K10" i="22"/>
  <c r="K11" i="22"/>
  <c r="K12" i="22"/>
  <c r="K5" i="22"/>
  <c r="J6" i="22"/>
  <c r="J7" i="22"/>
  <c r="J8" i="22"/>
  <c r="J9" i="22"/>
  <c r="J10" i="22"/>
  <c r="J11" i="22"/>
  <c r="J12" i="22"/>
  <c r="J5" i="22"/>
  <c r="G12" i="22"/>
  <c r="F12" i="22"/>
  <c r="H12" i="22" s="1"/>
  <c r="G11" i="22"/>
  <c r="F11" i="22"/>
  <c r="G10" i="22"/>
  <c r="F10" i="22"/>
  <c r="H10" i="22" s="1"/>
  <c r="G9" i="22"/>
  <c r="F9" i="22"/>
  <c r="H9" i="22" s="1"/>
  <c r="G8" i="22"/>
  <c r="F8" i="22"/>
  <c r="H8" i="22" s="1"/>
  <c r="G7" i="22"/>
  <c r="F7" i="22"/>
  <c r="H7" i="22" s="1"/>
  <c r="G6" i="22"/>
  <c r="F6" i="22"/>
  <c r="G5" i="22"/>
  <c r="F5" i="22"/>
  <c r="H5" i="22" s="1"/>
  <c r="H5" i="20"/>
  <c r="H6" i="20"/>
  <c r="H7" i="20"/>
  <c r="H8" i="20"/>
  <c r="H9" i="20"/>
  <c r="H10" i="20"/>
  <c r="H11" i="20"/>
  <c r="H4" i="20"/>
  <c r="G5" i="20"/>
  <c r="G6" i="20"/>
  <c r="G7" i="20"/>
  <c r="G8" i="20"/>
  <c r="G9" i="20"/>
  <c r="G10" i="20"/>
  <c r="G11" i="20"/>
  <c r="G4" i="20"/>
  <c r="F5" i="20"/>
  <c r="F6" i="20"/>
  <c r="F7" i="20"/>
  <c r="F8" i="20"/>
  <c r="F9" i="20"/>
  <c r="F10" i="20"/>
  <c r="F11" i="20"/>
  <c r="F4" i="20"/>
  <c r="J16" i="18"/>
  <c r="J15" i="18"/>
  <c r="J14" i="18"/>
  <c r="J13" i="18"/>
  <c r="H7" i="17"/>
  <c r="H8" i="17"/>
  <c r="H9" i="17"/>
  <c r="H10" i="17"/>
  <c r="H11" i="17"/>
  <c r="H12" i="17"/>
  <c r="H13" i="17"/>
  <c r="H6" i="17"/>
  <c r="N7" i="19"/>
  <c r="L7" i="19"/>
  <c r="N6" i="19"/>
  <c r="L6" i="19"/>
  <c r="J12" i="18"/>
  <c r="J11" i="18"/>
  <c r="J10" i="18"/>
  <c r="J9" i="18"/>
  <c r="J8" i="18"/>
  <c r="J7" i="18"/>
  <c r="J6" i="18"/>
  <c r="H13" i="16"/>
  <c r="H12" i="16"/>
  <c r="J6" i="16"/>
  <c r="J7" i="16"/>
  <c r="J8" i="16"/>
  <c r="J9" i="16"/>
  <c r="J10" i="16"/>
  <c r="J5" i="16"/>
  <c r="I6" i="16"/>
  <c r="I7" i="16"/>
  <c r="I8" i="16"/>
  <c r="I9" i="16"/>
  <c r="I10" i="16"/>
  <c r="I5" i="16"/>
  <c r="C14" i="15"/>
  <c r="H7" i="15"/>
  <c r="H8" i="15"/>
  <c r="H9" i="15"/>
  <c r="H10" i="15"/>
  <c r="H11" i="15"/>
  <c r="G7" i="15"/>
  <c r="G8" i="15"/>
  <c r="G9" i="15"/>
  <c r="G10" i="15"/>
  <c r="G11" i="15"/>
  <c r="H6" i="15"/>
  <c r="G6" i="15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3" i="13"/>
  <c r="J20" i="13"/>
  <c r="J21" i="13"/>
  <c r="J22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3" i="13"/>
  <c r="C32" i="13"/>
  <c r="C29" i="13"/>
  <c r="C27" i="13"/>
  <c r="C26" i="13"/>
  <c r="G22" i="13"/>
  <c r="H22" i="13" s="1"/>
  <c r="G21" i="13"/>
  <c r="H21" i="13" s="1"/>
  <c r="G20" i="13"/>
  <c r="H20" i="13" s="1"/>
  <c r="G19" i="13"/>
  <c r="H19" i="13" s="1"/>
  <c r="G18" i="13"/>
  <c r="H18" i="13" s="1"/>
  <c r="G17" i="13"/>
  <c r="H17" i="13" s="1"/>
  <c r="G16" i="13"/>
  <c r="H16" i="13" s="1"/>
  <c r="H15" i="13"/>
  <c r="G15" i="13"/>
  <c r="G14" i="13"/>
  <c r="H14" i="13" s="1"/>
  <c r="G13" i="13"/>
  <c r="H13" i="13" s="1"/>
  <c r="G12" i="13"/>
  <c r="H12" i="13" s="1"/>
  <c r="H11" i="13"/>
  <c r="G11" i="13"/>
  <c r="G10" i="13"/>
  <c r="H10" i="13" s="1"/>
  <c r="G9" i="13"/>
  <c r="H9" i="13" s="1"/>
  <c r="G8" i="13"/>
  <c r="H8" i="13" s="1"/>
  <c r="G7" i="13"/>
  <c r="H7" i="13" s="1"/>
  <c r="G6" i="13"/>
  <c r="H6" i="13" s="1"/>
  <c r="G5" i="13"/>
  <c r="H5" i="13" s="1"/>
  <c r="G4" i="13"/>
  <c r="H4" i="13" s="1"/>
  <c r="G3" i="13"/>
  <c r="H3" i="13" s="1"/>
  <c r="N7" i="12"/>
  <c r="N6" i="12"/>
  <c r="L7" i="12"/>
  <c r="L6" i="12"/>
  <c r="J7" i="11"/>
  <c r="J8" i="11"/>
  <c r="J9" i="11"/>
  <c r="J10" i="11"/>
  <c r="J11" i="11"/>
  <c r="J12" i="11"/>
  <c r="J6" i="11"/>
  <c r="C32" i="10"/>
  <c r="C31" i="10"/>
  <c r="C30" i="10"/>
  <c r="C29" i="10"/>
  <c r="C28" i="10"/>
  <c r="C27" i="10"/>
  <c r="C26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G5" i="10"/>
  <c r="G4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3" i="10"/>
  <c r="F7" i="4"/>
  <c r="F8" i="4"/>
  <c r="F9" i="4"/>
  <c r="F10" i="4"/>
  <c r="F11" i="4"/>
  <c r="F12" i="4"/>
  <c r="F13" i="4"/>
  <c r="F14" i="4"/>
  <c r="F15" i="4"/>
  <c r="F16" i="4"/>
  <c r="F17" i="4"/>
  <c r="E7" i="4"/>
  <c r="E8" i="4"/>
  <c r="E9" i="4"/>
  <c r="E10" i="4"/>
  <c r="E11" i="4"/>
  <c r="E12" i="4"/>
  <c r="E13" i="4"/>
  <c r="E14" i="4"/>
  <c r="E15" i="4"/>
  <c r="E16" i="4"/>
  <c r="E17" i="4"/>
  <c r="F6" i="4"/>
  <c r="E6" i="4"/>
  <c r="G7" i="24" l="1"/>
  <c r="H7" i="24"/>
  <c r="G10" i="24"/>
  <c r="H10" i="24" s="1"/>
  <c r="H11" i="24"/>
  <c r="H11" i="22"/>
  <c r="H6" i="22"/>
  <c r="C30" i="13"/>
  <c r="C31" i="13"/>
  <c r="C2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" authorId="0" shapeId="0" xr:uid="{E5E39201-E0B2-46F9-818A-3146BE82B86F}">
      <text>
        <r>
          <rPr>
            <sz val="9"/>
            <color indexed="81"/>
            <rFont val="Segoe UI"/>
            <family val="2"/>
          </rPr>
          <t xml:space="preserve">Aqui vamos concatenar o Produto, Estilo e Cor
</t>
        </r>
      </text>
    </comment>
    <comment ref="J2" authorId="0" shapeId="0" xr:uid="{EDD1F67F-E8E2-4635-8395-415D71E94717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Quero desprezar os centavos e utilizar somente os valores inteiros</t>
        </r>
      </text>
    </comment>
    <comment ref="K2" authorId="0" shapeId="0" xr:uid="{99B8C1CD-7775-4CF6-966C-1BE50CF5BB75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Arredondar o valor para cima sempre</t>
        </r>
      </text>
    </comment>
    <comment ref="L2" authorId="0" shapeId="0" xr:uid="{D76192D1-94FF-436A-A211-C897FACDF06D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Arredondar o valor para baixo sempre</t>
        </r>
      </text>
    </comment>
  </commentList>
</comments>
</file>

<file path=xl/sharedStrings.xml><?xml version="1.0" encoding="utf-8"?>
<sst xmlns="http://schemas.openxmlformats.org/spreadsheetml/2006/main" count="1017" uniqueCount="200">
  <si>
    <t>Produto</t>
  </si>
  <si>
    <t>Estilo</t>
  </si>
  <si>
    <t>Gênero</t>
  </si>
  <si>
    <t>cor</t>
  </si>
  <si>
    <t>quantidade</t>
  </si>
  <si>
    <t>tênis</t>
  </si>
  <si>
    <t>mola</t>
  </si>
  <si>
    <t>degradê</t>
  </si>
  <si>
    <t>Cano Alto</t>
  </si>
  <si>
    <t>Solado Plano</t>
  </si>
  <si>
    <t>Corrida</t>
  </si>
  <si>
    <t>Casual</t>
  </si>
  <si>
    <t>Caminhada</t>
  </si>
  <si>
    <t>Academia</t>
  </si>
  <si>
    <t>Voleybol</t>
  </si>
  <si>
    <t>Futebol de Salão</t>
  </si>
  <si>
    <t>Adventure</t>
  </si>
  <si>
    <t>Masculino</t>
  </si>
  <si>
    <t>Feminino</t>
  </si>
  <si>
    <t xml:space="preserve">Masculino </t>
  </si>
  <si>
    <t>Maculino</t>
  </si>
  <si>
    <t>Azul</t>
  </si>
  <si>
    <t>Verde e Amarelo</t>
  </si>
  <si>
    <t>Vermelho</t>
  </si>
  <si>
    <t>Preto</t>
  </si>
  <si>
    <t>Rosa</t>
  </si>
  <si>
    <t>Preto e Azul</t>
  </si>
  <si>
    <t>Pink e Branco</t>
  </si>
  <si>
    <t>Marrom</t>
  </si>
  <si>
    <t>Laranja</t>
  </si>
  <si>
    <t>Laranja e Branco</t>
  </si>
  <si>
    <t>Azul e rosa</t>
  </si>
  <si>
    <t>Verde Escuro</t>
  </si>
  <si>
    <t>Branco</t>
  </si>
  <si>
    <t>Colorido</t>
  </si>
  <si>
    <t>Preto e Laranja</t>
  </si>
  <si>
    <t>Preto e Verde</t>
  </si>
  <si>
    <t>Lilás</t>
  </si>
  <si>
    <t>Sapatênis</t>
  </si>
  <si>
    <t>Classico</t>
  </si>
  <si>
    <t>Social</t>
  </si>
  <si>
    <t>Esporte</t>
  </si>
  <si>
    <t>Couro</t>
  </si>
  <si>
    <t>Jeans</t>
  </si>
  <si>
    <t>Quantidade</t>
  </si>
  <si>
    <t>Cor</t>
  </si>
  <si>
    <t>VULCAN ORTOPÉDICOS</t>
  </si>
  <si>
    <t>Preço</t>
  </si>
  <si>
    <t>Total</t>
  </si>
  <si>
    <t>Vulcan Ortopédicos</t>
  </si>
  <si>
    <t>Vulcan Ortopedicos</t>
  </si>
  <si>
    <t>N°</t>
  </si>
  <si>
    <t>QUANTIDADE</t>
  </si>
  <si>
    <t>REAJUSTE</t>
  </si>
  <si>
    <t>TOTAL DA COMPRA</t>
  </si>
  <si>
    <t>PREÇO COMPRA</t>
  </si>
  <si>
    <t xml:space="preserve">ITEM </t>
  </si>
  <si>
    <t>SAPATÊNIS CLÁSSICO MASCULINO</t>
  </si>
  <si>
    <t>PREÇO DE VENDA</t>
  </si>
  <si>
    <t>ITEM</t>
  </si>
  <si>
    <t>GÊNERO</t>
  </si>
  <si>
    <t>COR</t>
  </si>
  <si>
    <t>ESTILO</t>
  </si>
  <si>
    <t>ESTOQUE MÍNIMO</t>
  </si>
  <si>
    <t>CUSTO UNITÁRIO</t>
  </si>
  <si>
    <t>PREÇO UNITÁRIO</t>
  </si>
  <si>
    <t>EMPRESA</t>
  </si>
  <si>
    <t>TELEFONE</t>
  </si>
  <si>
    <t>E-MAIL</t>
  </si>
  <si>
    <t>ENDEREÇO</t>
  </si>
  <si>
    <t>LOJA</t>
  </si>
  <si>
    <r>
      <t xml:space="preserve">CADASTRO DE </t>
    </r>
    <r>
      <rPr>
        <b/>
        <sz val="20"/>
        <color rgb="FFFFC000"/>
        <rFont val="Franklin Gothic Book"/>
        <family val="2"/>
        <scheme val="minor"/>
      </rPr>
      <t>PRODUTOS</t>
    </r>
  </si>
  <si>
    <t xml:space="preserve">Tênis </t>
  </si>
  <si>
    <t>Azul e Rosa</t>
  </si>
  <si>
    <t>Mola</t>
  </si>
  <si>
    <t>Degradê</t>
  </si>
  <si>
    <r>
      <t xml:space="preserve">CADASTRO DE </t>
    </r>
    <r>
      <rPr>
        <b/>
        <sz val="16"/>
        <color rgb="FFFFC000"/>
        <rFont val="Franklin Gothic Book"/>
        <family val="2"/>
        <scheme val="minor"/>
      </rPr>
      <t>FORNECEDOR</t>
    </r>
  </si>
  <si>
    <t>Bela Vista calçados</t>
  </si>
  <si>
    <t>Alto Pinheiro Calçados</t>
  </si>
  <si>
    <t>Forma Certa Calçados</t>
  </si>
  <si>
    <t>Novo Estilo calçados</t>
  </si>
  <si>
    <t>Pé Perfeito Calçados</t>
  </si>
  <si>
    <t>(41) 3255-5644</t>
  </si>
  <si>
    <t>(11) 3211-221</t>
  </si>
  <si>
    <t>(21) 3254-1133</t>
  </si>
  <si>
    <t>(31) 2123-3322</t>
  </si>
  <si>
    <t>(51) 3266-5509</t>
  </si>
  <si>
    <t>vendas@belavista.com.br</t>
  </si>
  <si>
    <t>vendas@altopinheiro.com.br</t>
  </si>
  <si>
    <t>vendas@formacerta.com.br</t>
  </si>
  <si>
    <t>vendas@novoestilo.com.br</t>
  </si>
  <si>
    <t>vendas@péperfeito.com.br</t>
  </si>
  <si>
    <t>Rua Célia Regina, 123 - SP</t>
  </si>
  <si>
    <t>Rua Alves Soares, 543 - PR</t>
  </si>
  <si>
    <t>Rua Agostim, 2451 - RJ</t>
  </si>
  <si>
    <t>Rua Um, 491 - MG</t>
  </si>
  <si>
    <t>Rua santos Domingues, 3211 - RS</t>
  </si>
  <si>
    <r>
      <rPr>
        <b/>
        <sz val="16"/>
        <color theme="0"/>
        <rFont val="Franklin Gothic Book"/>
        <family val="2"/>
        <scheme val="minor"/>
      </rPr>
      <t xml:space="preserve">CADATRO DE </t>
    </r>
    <r>
      <rPr>
        <b/>
        <sz val="16"/>
        <color theme="7" tint="-0.249977111117893"/>
        <rFont val="Franklin Gothic Book"/>
        <family val="2"/>
        <scheme val="minor"/>
      </rPr>
      <t>LOJAS</t>
    </r>
  </si>
  <si>
    <t>Pé Perfeito</t>
  </si>
  <si>
    <t>Recanto Calçados</t>
  </si>
  <si>
    <t>Esporte Calçados</t>
  </si>
  <si>
    <t>Tênis Atual</t>
  </si>
  <si>
    <t>(11)3211-5544</t>
  </si>
  <si>
    <t>(17)3412-8790</t>
  </si>
  <si>
    <t>(19)3111-4532</t>
  </si>
  <si>
    <t>(13)3434-4333</t>
  </si>
  <si>
    <t>EMAIL</t>
  </si>
  <si>
    <t>contato@peperfeirto.com.br</t>
  </si>
  <si>
    <t>contato@recantocalcados.com.br</t>
  </si>
  <si>
    <t>contato@esportecalcados.com.br</t>
  </si>
  <si>
    <t>contato@teniaatual.com.br</t>
  </si>
  <si>
    <t>Rua Figueira, 3444 - Centro-SP</t>
  </si>
  <si>
    <t>Rua Benedito Siqueira, 343 - |Rio Preto -SP</t>
  </si>
  <si>
    <t>Rua Três Flores, 1 - Campinas - SP</t>
  </si>
  <si>
    <t>Avenida Atlântica, 333 Santos - SP</t>
  </si>
  <si>
    <t xml:space="preserve">Sapatênis </t>
  </si>
  <si>
    <t>Preço Unitário</t>
  </si>
  <si>
    <t>% de Lucro</t>
  </si>
  <si>
    <t>Quantidade de produtos</t>
  </si>
  <si>
    <t>Quantidade de vendas</t>
  </si>
  <si>
    <t>Média total de vendas</t>
  </si>
  <si>
    <t>Menor valor de Prelo Unitário</t>
  </si>
  <si>
    <t>Maior Valor de Preço Unitário</t>
  </si>
  <si>
    <t>2° Maior Valor de Preço Unitário</t>
  </si>
  <si>
    <t>3° Menor Valor de Preço Unitário</t>
  </si>
  <si>
    <t>Preço de venda</t>
  </si>
  <si>
    <t>Total de venda</t>
  </si>
  <si>
    <r>
      <t xml:space="preserve">CADASTRO DE </t>
    </r>
    <r>
      <rPr>
        <b/>
        <sz val="11"/>
        <color rgb="FFFFC000"/>
        <rFont val="Franklin Gothic Book"/>
        <family val="2"/>
        <scheme val="minor"/>
      </rPr>
      <t>ENTRADAS</t>
    </r>
  </si>
  <si>
    <t>FORNECEDOR</t>
  </si>
  <si>
    <t>VALOR DE COMPRA TOTAL</t>
  </si>
  <si>
    <t>Tênis</t>
  </si>
  <si>
    <t>Clássico</t>
  </si>
  <si>
    <t>Bela Vista Calçados</t>
  </si>
  <si>
    <t>Pé Perfeito calçados</t>
  </si>
  <si>
    <r>
      <t xml:space="preserve">Cadastro de </t>
    </r>
    <r>
      <rPr>
        <b/>
        <sz val="14"/>
        <color theme="5"/>
        <rFont val="Franklin Gothic Book"/>
        <family val="2"/>
        <scheme val="minor"/>
      </rPr>
      <t>Saídas</t>
    </r>
  </si>
  <si>
    <t>DATA DA SAÍDA</t>
  </si>
  <si>
    <t>QUANTIDADE DEVOLVIDA</t>
  </si>
  <si>
    <t>DATA DA DEVOLUÇÃO</t>
  </si>
  <si>
    <t xml:space="preserve">Pé Perfeito </t>
  </si>
  <si>
    <t>QUANTIDADE VENDIDA</t>
  </si>
  <si>
    <t>ESTOQUE ACUMULADO</t>
  </si>
  <si>
    <t>VALOR DE VENDA TOTAL</t>
  </si>
  <si>
    <t>DATA DA COMPRA</t>
  </si>
  <si>
    <t>PRODUTO</t>
  </si>
  <si>
    <t>PRODUTO CONCATENADO</t>
  </si>
  <si>
    <t>VALOR INTEIRO</t>
  </si>
  <si>
    <t>ARREDONDAR PARA CIMA</t>
  </si>
  <si>
    <t>ARREDONDAR PARA BAIXO</t>
  </si>
  <si>
    <r>
      <rPr>
        <b/>
        <sz val="12"/>
        <color theme="0"/>
        <rFont val="Franklin Gothic Book"/>
        <family val="2"/>
        <scheme val="minor"/>
      </rPr>
      <t>CONTROLE DE ENTRADA</t>
    </r>
    <r>
      <rPr>
        <b/>
        <sz val="12"/>
        <color theme="1"/>
        <rFont val="Franklin Gothic Book"/>
        <family val="2"/>
        <scheme val="minor"/>
      </rPr>
      <t xml:space="preserve"> </t>
    </r>
    <r>
      <rPr>
        <b/>
        <sz val="12"/>
        <color theme="5" tint="-0.249977111117893"/>
        <rFont val="Franklin Gothic Book"/>
        <family val="2"/>
        <scheme val="minor"/>
      </rPr>
      <t>E SAÍDA DE FUNCIOÁRIO</t>
    </r>
  </si>
  <si>
    <t>FUNCIONÁRIO</t>
  </si>
  <si>
    <t>DATA DE ENTRADA</t>
  </si>
  <si>
    <t>HORA DA ENTRADA</t>
  </si>
  <si>
    <t>HORA DA SAÍDA</t>
  </si>
  <si>
    <t>HORAS TRABALHADAS</t>
  </si>
  <si>
    <t>HORAS EXTRAS</t>
  </si>
  <si>
    <t>FRANCISCO ALBERTO</t>
  </si>
  <si>
    <t>REGINALDO CESAR</t>
  </si>
  <si>
    <t>MARIA REGINA</t>
  </si>
  <si>
    <t>CLÁUDIA SOARES</t>
  </si>
  <si>
    <t>SANDRO HENRIQUE</t>
  </si>
  <si>
    <t>PAULA DIAS</t>
  </si>
  <si>
    <t>HORAS DE TRABALHO DIÁRIA</t>
  </si>
  <si>
    <t xml:space="preserve">RELATÓRIO EMITIDO EM: </t>
  </si>
  <si>
    <r>
      <rPr>
        <b/>
        <sz val="12"/>
        <color theme="0"/>
        <rFont val="Franklin Gothic Book"/>
        <family val="2"/>
        <scheme val="minor"/>
      </rPr>
      <t>GINCANA DE FIM DE ANO PARA</t>
    </r>
    <r>
      <rPr>
        <b/>
        <sz val="12"/>
        <color theme="1"/>
        <rFont val="Franklin Gothic Book"/>
        <family val="2"/>
        <scheme val="minor"/>
      </rPr>
      <t xml:space="preserve"> </t>
    </r>
    <r>
      <rPr>
        <b/>
        <sz val="12"/>
        <color theme="5" tint="-0.249977111117893"/>
        <rFont val="Franklin Gothic Book"/>
        <family val="2"/>
        <scheme val="minor"/>
      </rPr>
      <t>OS FUNCIONÁRIOS DO TIME DE LOGÍSTICA</t>
    </r>
  </si>
  <si>
    <t xml:space="preserve">PARTICIPANTE </t>
  </si>
  <si>
    <t>SEXO</t>
  </si>
  <si>
    <t>TIME</t>
  </si>
  <si>
    <t>CORRIDA</t>
  </si>
  <si>
    <t>NATAÇÃO</t>
  </si>
  <si>
    <t>BIKE</t>
  </si>
  <si>
    <t>SALTO</t>
  </si>
  <si>
    <t>MÉDIA DE NOTA</t>
  </si>
  <si>
    <t>VENCEDOR ACIMA DE 8</t>
  </si>
  <si>
    <t>M</t>
  </si>
  <si>
    <t>F</t>
  </si>
  <si>
    <t>VERMELHO</t>
  </si>
  <si>
    <t>AZUL</t>
  </si>
  <si>
    <t>TOTAL DE COMPETIDORES DO SEXO FEMININO</t>
  </si>
  <si>
    <t>TOTAL DE COMPETIDORES DO SEXO MASCULINO</t>
  </si>
  <si>
    <t>% DE LUCRO</t>
  </si>
  <si>
    <r>
      <rPr>
        <b/>
        <sz val="14"/>
        <color theme="0"/>
        <rFont val="Franklin Gothic Book"/>
        <family val="2"/>
        <scheme val="minor"/>
      </rPr>
      <t>CONTROLE DE</t>
    </r>
    <r>
      <rPr>
        <b/>
        <sz val="14"/>
        <color theme="1"/>
        <rFont val="Franklin Gothic Book"/>
        <family val="2"/>
        <scheme val="minor"/>
      </rPr>
      <t xml:space="preserve"> </t>
    </r>
    <r>
      <rPr>
        <b/>
        <sz val="14"/>
        <color rgb="FFFFC000"/>
        <rFont val="Franklin Gothic Book"/>
        <family val="2"/>
        <scheme val="minor"/>
      </rPr>
      <t>ESTOQUE</t>
    </r>
  </si>
  <si>
    <t>ENTRADAS</t>
  </si>
  <si>
    <t>SAÍDAS</t>
  </si>
  <si>
    <t>SALDO</t>
  </si>
  <si>
    <t>STATUS</t>
  </si>
  <si>
    <t>RECEITA TOTAL</t>
  </si>
  <si>
    <t>CUSTO TOTAL</t>
  </si>
  <si>
    <t>LUCRO PREJUÍZO TOTAL</t>
  </si>
  <si>
    <r>
      <rPr>
        <b/>
        <sz val="14"/>
        <color theme="0"/>
        <rFont val="Franklin Gothic Book"/>
        <family val="2"/>
        <scheme val="minor"/>
      </rPr>
      <t>CONTAS A</t>
    </r>
    <r>
      <rPr>
        <b/>
        <sz val="14"/>
        <color theme="1"/>
        <rFont val="Franklin Gothic Book"/>
        <family val="2"/>
        <scheme val="minor"/>
      </rPr>
      <t xml:space="preserve"> </t>
    </r>
    <r>
      <rPr>
        <b/>
        <sz val="14"/>
        <color theme="5" tint="-0.249977111117893"/>
        <rFont val="Franklin Gothic Book"/>
        <family val="2"/>
        <scheme val="minor"/>
      </rPr>
      <t>PAGAR</t>
    </r>
  </si>
  <si>
    <t>DATA</t>
  </si>
  <si>
    <t>JUROS DIÁRIOS</t>
  </si>
  <si>
    <t>FORNECEDORES</t>
  </si>
  <si>
    <t>VALOR DO TÍTULO</t>
  </si>
  <si>
    <t>VENCIMENTO</t>
  </si>
  <si>
    <t>DIAS EM ATRASO</t>
  </si>
  <si>
    <t>DIA DA SEMANA</t>
  </si>
  <si>
    <t>VALOR DOS JUROS</t>
  </si>
  <si>
    <t>VALOR TOTAL</t>
  </si>
  <si>
    <t>SITUAÇÃO</t>
  </si>
  <si>
    <r>
      <rPr>
        <b/>
        <sz val="14"/>
        <color theme="0"/>
        <rFont val="Franklin Gothic Book"/>
        <family val="2"/>
        <scheme val="minor"/>
      </rPr>
      <t>DASH</t>
    </r>
    <r>
      <rPr>
        <b/>
        <sz val="14"/>
        <color rgb="FFFFC000"/>
        <rFont val="Franklin Gothic Book"/>
        <family val="2"/>
        <scheme val="minor"/>
      </rPr>
      <t>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</si>
</sst>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  <numFmt numFmtId="166" formatCode="[$R$-416]\ #,##0.00;[Red]\-[$R$-416]\ #,##0.00"/>
    <numFmt numFmtId="167" formatCode="dddd"/>
  </numFmts>
  <fonts count="34" x14ac:knownFonts="1">
    <font>
      <sz val="11"/>
      <color theme="1"/>
      <name val="Franklin Gothic Book"/>
      <family val="2"/>
      <scheme val="minor"/>
    </font>
    <font>
      <sz val="18"/>
      <color theme="4" tint="-0.499984740745262"/>
      <name val="Franklin Gothic Book"/>
      <family val="2"/>
      <scheme val="minor"/>
    </font>
    <font>
      <b/>
      <sz val="11"/>
      <color theme="8" tint="-0.249977111117893"/>
      <name val="Franklin Gothic Book"/>
      <family val="2"/>
      <scheme val="minor"/>
    </font>
    <font>
      <b/>
      <sz val="16"/>
      <color theme="8" tint="-0.24997711111789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b/>
      <sz val="20"/>
      <color theme="0"/>
      <name val="Franklin Gothic Book"/>
      <family val="2"/>
      <scheme val="minor"/>
    </font>
    <font>
      <b/>
      <sz val="16"/>
      <color rgb="FFFFC000"/>
      <name val="Franklin Gothic Book"/>
      <family val="2"/>
      <scheme val="minor"/>
    </font>
    <font>
      <b/>
      <sz val="20"/>
      <color rgb="FFFFC000"/>
      <name val="Franklin Gothic Book"/>
      <family val="2"/>
      <scheme val="minor"/>
    </font>
    <font>
      <b/>
      <sz val="16"/>
      <color theme="0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b/>
      <sz val="14"/>
      <color theme="1"/>
      <name val="Franklin Gothic Book"/>
      <family val="2"/>
      <scheme val="minor"/>
    </font>
    <font>
      <b/>
      <sz val="16"/>
      <color theme="1"/>
      <name val="Franklin Gothic Book"/>
      <family val="2"/>
      <scheme val="minor"/>
    </font>
    <font>
      <b/>
      <sz val="16"/>
      <color theme="7" tint="-0.249977111117893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4"/>
      <name val="Franklin Gothic Book"/>
      <family val="2"/>
      <scheme val="minor"/>
    </font>
    <font>
      <sz val="14"/>
      <color theme="1"/>
      <name val="Aharoni"/>
      <charset val="177"/>
    </font>
    <font>
      <sz val="11"/>
      <color theme="0"/>
      <name val="Franklin Gothic Book"/>
      <family val="2"/>
      <scheme val="minor"/>
    </font>
    <font>
      <sz val="11"/>
      <color theme="0" tint="-4.9989318521683403E-2"/>
      <name val="Franklin Gothic Book"/>
      <family val="2"/>
      <scheme val="minor"/>
    </font>
    <font>
      <b/>
      <sz val="11"/>
      <color theme="0" tint="-4.9989318521683403E-2"/>
      <name val="Franklin Gothic Book"/>
      <family val="2"/>
      <scheme val="minor"/>
    </font>
    <font>
      <b/>
      <sz val="11"/>
      <color rgb="FFFFC000"/>
      <name val="Franklin Gothic Book"/>
      <family val="2"/>
      <scheme val="minor"/>
    </font>
    <font>
      <b/>
      <sz val="14"/>
      <color theme="0"/>
      <name val="Franklin Gothic Book"/>
      <family val="2"/>
      <scheme val="minor"/>
    </font>
    <font>
      <b/>
      <sz val="14"/>
      <color theme="5"/>
      <name val="Franklin Gothic Book"/>
      <family val="2"/>
      <scheme val="minor"/>
    </font>
    <font>
      <b/>
      <sz val="12"/>
      <color theme="1"/>
      <name val="Franklin Gothic Book"/>
      <family val="2"/>
      <scheme val="minor"/>
    </font>
    <font>
      <b/>
      <sz val="14"/>
      <color theme="1"/>
      <name val="Aharoni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0"/>
      <name val="Franklin Gothic Book"/>
      <family val="2"/>
      <scheme val="minor"/>
    </font>
    <font>
      <b/>
      <sz val="12"/>
      <color theme="5" tint="-0.249977111117893"/>
      <name val="Franklin Gothic Book"/>
      <family val="2"/>
      <scheme val="minor"/>
    </font>
    <font>
      <sz val="14"/>
      <color rgb="FF282828"/>
      <name val="Open Sans"/>
      <family val="2"/>
    </font>
    <font>
      <b/>
      <sz val="11"/>
      <color theme="1" tint="4.9989318521683403E-2"/>
      <name val="Franklin Gothic Book"/>
      <family val="2"/>
      <scheme val="minor"/>
    </font>
    <font>
      <b/>
      <sz val="14"/>
      <color rgb="FFFFC000"/>
      <name val="Franklin Gothic Book"/>
      <family val="2"/>
      <scheme val="minor"/>
    </font>
    <font>
      <b/>
      <sz val="14"/>
      <color theme="5" tint="-0.249977111117893"/>
      <name val="Franklin Gothic Book"/>
      <family val="2"/>
      <scheme val="minor"/>
    </font>
    <font>
      <b/>
      <sz val="18"/>
      <color rgb="FFFF0000"/>
      <name val="Franklin Gothic Book"/>
      <family val="2"/>
      <scheme val="minor"/>
    </font>
    <font>
      <b/>
      <sz val="18"/>
      <color rgb="FF0000FF"/>
      <name val="Franklin Gothic Book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</cellStyleXfs>
  <cellXfs count="86">
    <xf numFmtId="0" fontId="0" fillId="0" borderId="0" xfId="0"/>
    <xf numFmtId="0" fontId="1" fillId="0" borderId="0" xfId="0" applyFont="1"/>
    <xf numFmtId="44" fontId="0" fillId="0" borderId="0" xfId="0" applyNumberFormat="1"/>
    <xf numFmtId="0" fontId="2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10" fontId="0" fillId="0" borderId="0" xfId="0" applyNumberFormat="1"/>
    <xf numFmtId="0" fontId="0" fillId="3" borderId="0" xfId="0" applyFill="1" applyAlignment="1">
      <alignment horizontal="center" wrapText="1"/>
    </xf>
    <xf numFmtId="0" fontId="6" fillId="4" borderId="0" xfId="0" applyFont="1" applyFill="1"/>
    <xf numFmtId="0" fontId="0" fillId="4" borderId="0" xfId="0" applyFill="1"/>
    <xf numFmtId="0" fontId="5" fillId="4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6" borderId="0" xfId="0" applyFill="1"/>
    <xf numFmtId="0" fontId="8" fillId="6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9" fillId="0" borderId="0" xfId="1"/>
    <xf numFmtId="0" fontId="10" fillId="5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7" borderId="0" xfId="2" applyAlignment="1">
      <alignment horizontal="center"/>
    </xf>
    <xf numFmtId="0" fontId="13" fillId="7" borderId="0" xfId="2"/>
    <xf numFmtId="0" fontId="15" fillId="7" borderId="0" xfId="2" applyFont="1" applyAlignment="1">
      <alignment horizontal="center"/>
    </xf>
    <xf numFmtId="0" fontId="15" fillId="7" borderId="0" xfId="2" applyFont="1" applyAlignment="1">
      <alignment wrapText="1"/>
    </xf>
    <xf numFmtId="0" fontId="15" fillId="7" borderId="0" xfId="2" applyFont="1"/>
    <xf numFmtId="0" fontId="15" fillId="7" borderId="0" xfId="2" applyFont="1" applyAlignment="1">
      <alignment horizontal="center" wrapText="1"/>
    </xf>
    <xf numFmtId="9" fontId="13" fillId="9" borderId="1" xfId="3" applyNumberFormat="1" applyFill="1" applyBorder="1"/>
    <xf numFmtId="0" fontId="13" fillId="8" borderId="1" xfId="3" applyBorder="1"/>
    <xf numFmtId="44" fontId="13" fillId="8" borderId="1" xfId="3" applyNumberFormat="1" applyBorder="1"/>
    <xf numFmtId="0" fontId="17" fillId="6" borderId="0" xfId="0" applyFont="1" applyFill="1"/>
    <xf numFmtId="0" fontId="18" fillId="6" borderId="0" xfId="0" applyFont="1" applyFill="1"/>
    <xf numFmtId="14" fontId="0" fillId="0" borderId="0" xfId="0" applyNumberFormat="1"/>
    <xf numFmtId="164" fontId="0" fillId="0" borderId="0" xfId="0" applyNumberFormat="1"/>
    <xf numFmtId="0" fontId="16" fillId="6" borderId="0" xfId="0" applyFont="1" applyFill="1"/>
    <xf numFmtId="0" fontId="20" fillId="6" borderId="0" xfId="0" applyFont="1" applyFill="1"/>
    <xf numFmtId="0" fontId="22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10" fontId="13" fillId="9" borderId="1" xfId="3" applyNumberFormat="1" applyFill="1" applyBorder="1"/>
    <xf numFmtId="0" fontId="23" fillId="7" borderId="0" xfId="2" applyFont="1" applyAlignment="1">
      <alignment horizontal="center" vertical="center" wrapText="1"/>
    </xf>
    <xf numFmtId="0" fontId="22" fillId="4" borderId="0" xfId="0" applyFont="1" applyFill="1"/>
    <xf numFmtId="0" fontId="4" fillId="0" borderId="0" xfId="0" applyFont="1"/>
    <xf numFmtId="0" fontId="22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20" fontId="0" fillId="0" borderId="0" xfId="0" applyNumberFormat="1"/>
    <xf numFmtId="0" fontId="22" fillId="11" borderId="0" xfId="0" applyFont="1" applyFill="1"/>
    <xf numFmtId="0" fontId="0" fillId="11" borderId="0" xfId="0" applyFill="1"/>
    <xf numFmtId="20" fontId="22" fillId="11" borderId="0" xfId="0" applyNumberFormat="1" applyFont="1" applyFill="1"/>
    <xf numFmtId="22" fontId="0" fillId="0" borderId="0" xfId="0" applyNumberFormat="1"/>
    <xf numFmtId="0" fontId="28" fillId="0" borderId="0" xfId="0" applyFont="1"/>
    <xf numFmtId="0" fontId="22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vertical="center"/>
    </xf>
    <xf numFmtId="0" fontId="29" fillId="5" borderId="0" xfId="0" applyFont="1" applyFill="1" applyAlignment="1">
      <alignment horizontal="center" vertical="center" wrapText="1"/>
    </xf>
    <xf numFmtId="0" fontId="0" fillId="0" borderId="1" xfId="0" applyBorder="1"/>
    <xf numFmtId="0" fontId="0" fillId="9" borderId="0" xfId="0" applyFill="1"/>
    <xf numFmtId="0" fontId="4" fillId="9" borderId="0" xfId="0" applyFont="1" applyFill="1"/>
    <xf numFmtId="2" fontId="0" fillId="0" borderId="1" xfId="0" applyNumberFormat="1" applyBorder="1"/>
    <xf numFmtId="9" fontId="22" fillId="11" borderId="0" xfId="0" applyNumberFormat="1" applyFont="1" applyFill="1"/>
    <xf numFmtId="0" fontId="22" fillId="11" borderId="0" xfId="0" applyFont="1" applyFill="1" applyAlignment="1">
      <alignment horizontal="right"/>
    </xf>
    <xf numFmtId="0" fontId="10" fillId="4" borderId="0" xfId="0" applyFont="1" applyFill="1"/>
    <xf numFmtId="0" fontId="22" fillId="10" borderId="0" xfId="0" applyFont="1" applyFill="1" applyAlignment="1">
      <alignment horizontal="center" vertical="center" wrapText="1"/>
    </xf>
    <xf numFmtId="0" fontId="10" fillId="10" borderId="0" xfId="0" applyFont="1" applyFill="1"/>
    <xf numFmtId="165" fontId="0" fillId="0" borderId="0" xfId="0" applyNumberFormat="1"/>
    <xf numFmtId="166" fontId="0" fillId="0" borderId="0" xfId="0" applyNumberFormat="1"/>
    <xf numFmtId="0" fontId="1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3" fillId="8" borderId="1" xfId="3" applyBorder="1" applyAlignment="1">
      <alignment horizontal="right" vertical="center"/>
    </xf>
    <xf numFmtId="0" fontId="13" fillId="9" borderId="1" xfId="3" applyFill="1" applyBorder="1" applyAlignment="1">
      <alignment horizontal="right"/>
    </xf>
    <xf numFmtId="0" fontId="0" fillId="3" borderId="0" xfId="0" applyFill="1"/>
    <xf numFmtId="0" fontId="22" fillId="3" borderId="0" xfId="0" applyFont="1" applyFill="1" applyAlignment="1">
      <alignment horizontal="center" wrapText="1"/>
    </xf>
    <xf numFmtId="44" fontId="10" fillId="4" borderId="0" xfId="0" applyNumberFormat="1" applyFont="1" applyFill="1"/>
    <xf numFmtId="44" fontId="22" fillId="3" borderId="0" xfId="0" applyNumberFormat="1" applyFont="1" applyFill="1" applyAlignment="1">
      <alignment horizontal="center" wrapText="1"/>
    </xf>
    <xf numFmtId="167" fontId="0" fillId="0" borderId="0" xfId="0" applyNumberFormat="1"/>
    <xf numFmtId="167" fontId="10" fillId="4" borderId="0" xfId="0" applyNumberFormat="1" applyFont="1" applyFill="1"/>
    <xf numFmtId="167" fontId="22" fillId="3" borderId="0" xfId="0" applyNumberFormat="1" applyFont="1" applyFill="1" applyAlignment="1">
      <alignment horizontal="center" wrapText="1"/>
    </xf>
    <xf numFmtId="44" fontId="0" fillId="3" borderId="0" xfId="0" applyNumberFormat="1" applyFill="1"/>
    <xf numFmtId="0" fontId="10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2" fillId="0" borderId="0" xfId="0" applyFont="1" applyAlignment="1">
      <alignment horizontal="center" vertical="center"/>
    </xf>
    <xf numFmtId="44" fontId="33" fillId="0" borderId="0" xfId="0" applyNumberFormat="1" applyFont="1" applyAlignment="1">
      <alignment horizontal="center" vertical="center"/>
    </xf>
    <xf numFmtId="44" fontId="33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44" fontId="33" fillId="0" borderId="0" xfId="0" applyNumberFormat="1" applyFont="1" applyAlignment="1"/>
    <xf numFmtId="0" fontId="33" fillId="0" borderId="0" xfId="0" applyFont="1" applyAlignment="1"/>
    <xf numFmtId="0" fontId="32" fillId="0" borderId="0" xfId="0" applyFont="1" applyAlignment="1">
      <alignment vertical="center"/>
    </xf>
  </cellXfs>
  <cellStyles count="4">
    <cellStyle name="40% - Ênfase2" xfId="2" builtinId="35"/>
    <cellStyle name="40% - Ênfase5" xfId="3" builtinId="47"/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 </a:t>
            </a:r>
            <a:r>
              <a:rPr lang="pt-BR" sz="1400" b="0" i="0" u="none" strike="noStrike" baseline="0">
                <a:effectLst/>
              </a:rPr>
              <a:t>Contas a Pagar</a:t>
            </a:r>
          </a:p>
          <a:p>
            <a:pPr>
              <a:defRPr/>
            </a:pPr>
            <a:r>
              <a:rPr lang="pt-BR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0377099737532808"/>
          <c:y val="0.19787037037037036"/>
          <c:w val="0.76567344706911633"/>
          <c:h val="0.652082968795567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'Aula 15 – Contas a Pagar Gráf'!$C$6</c:f>
              <c:strCache>
                <c:ptCount val="1"/>
                <c:pt idx="0">
                  <c:v> VALOR DO TÍTULO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F4-4087-9614-E35F3F40E0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F4-4087-9614-E35F3F40E0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F4-4087-9614-E35F3F40E0B3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F4-4087-9614-E35F3F40E0B3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F4-4087-9614-E35F3F40E0B3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F4-4087-9614-E35F3F40E0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'Aula 15 – Contas a Pagar Gráf'!$B$7:$B$11</c:f>
              <c:strCache>
                <c:ptCount val="5"/>
                <c:pt idx="0">
                  <c:v>Bela Vista calçados</c:v>
                </c:pt>
                <c:pt idx="1">
                  <c:v>Alto Pinheiro Calçados</c:v>
                </c:pt>
                <c:pt idx="2">
                  <c:v>Forma Certa Calçados</c:v>
                </c:pt>
                <c:pt idx="3">
                  <c:v>Novo Estilo calçados</c:v>
                </c:pt>
                <c:pt idx="4">
                  <c:v>Pé Perfeito Calçados</c:v>
                </c:pt>
              </c:strCache>
            </c:strRef>
          </c:cat>
          <c:val>
            <c:numRef>
              <c:f>'Aula 15 – Contas a Pagar Gráf'!$C$7:$C$11</c:f>
              <c:numCache>
                <c:formatCode>_("R$"* #,##0.00_);_("R$"* \(#,##0.00\);_("R$"* "-"??_);_(@_)</c:formatCode>
                <c:ptCount val="5"/>
                <c:pt idx="0">
                  <c:v>78780</c:v>
                </c:pt>
                <c:pt idx="1">
                  <c:v>24620</c:v>
                </c:pt>
                <c:pt idx="2">
                  <c:v>0</c:v>
                </c:pt>
                <c:pt idx="3">
                  <c:v>0</c:v>
                </c:pt>
                <c:pt idx="4">
                  <c:v>73200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4-4087-9614-E35F3F40E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00559"/>
        <c:axId val="96303471"/>
      </c:barChart>
      <c:catAx>
        <c:axId val="9630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03471"/>
        <c:crosses val="autoZero"/>
        <c:auto val="1"/>
        <c:lblAlgn val="ctr"/>
        <c:lblOffset val="100"/>
        <c:noMultiLvlLbl val="0"/>
      </c:catAx>
      <c:valAx>
        <c:axId val="9630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30055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055555555555558E-2"/>
          <c:y val="0.21074766695829691"/>
          <c:w val="0.81388888888888888"/>
          <c:h val="0.52370917177019538"/>
        </c:manualLayout>
      </c:layout>
      <c:pie3DChart>
        <c:varyColors val="1"/>
        <c:ser>
          <c:idx val="0"/>
          <c:order val="0"/>
          <c:tx>
            <c:strRef>
              <c:f>'Aula 15 – Contas a Pagar Gráf'!$C$6</c:f>
              <c:strCache>
                <c:ptCount val="1"/>
                <c:pt idx="0">
                  <c:v> VALOR DO TÍTULO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A7A-4BDC-9EF1-906E94DCB044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A7A-4BDC-9EF1-906E94DCB0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'Aula 15 – Contas a Pagar Gráf'!$B$7:$B$11</c:f>
              <c:strCache>
                <c:ptCount val="5"/>
                <c:pt idx="0">
                  <c:v>Bela Vista calçados</c:v>
                </c:pt>
                <c:pt idx="1">
                  <c:v>Alto Pinheiro Calçados</c:v>
                </c:pt>
                <c:pt idx="2">
                  <c:v>Forma Certa Calçados</c:v>
                </c:pt>
                <c:pt idx="3">
                  <c:v>Novo Estilo calçados</c:v>
                </c:pt>
                <c:pt idx="4">
                  <c:v>Pé Perfeito Calçados</c:v>
                </c:pt>
              </c:strCache>
            </c:strRef>
          </c:cat>
          <c:val>
            <c:numRef>
              <c:f>'Aula 15 – Contas a Pagar Gráf'!$C$7:$C$11</c:f>
              <c:numCache>
                <c:formatCode>_("R$"* #,##0.00_);_("R$"* \(#,##0.00\);_("R$"* "-"??_);_(@_)</c:formatCode>
                <c:ptCount val="5"/>
                <c:pt idx="0">
                  <c:v>78780</c:v>
                </c:pt>
                <c:pt idx="1">
                  <c:v>24620</c:v>
                </c:pt>
                <c:pt idx="2">
                  <c:v>0</c:v>
                </c:pt>
                <c:pt idx="3">
                  <c:v>0</c:v>
                </c:pt>
                <c:pt idx="4">
                  <c:v>73200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A-4BDC-9EF1-906E94DCB0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Aula 4 - Cadastro de Produtos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Aula 16 &#8211; Menu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Aula 16 &#8211; Menu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Aula 16 &#8211; Menu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Aula 16 &#8211; Menu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Aula 12 - Sa&#237;das'!A1"/><Relationship Id="rId2" Type="http://schemas.openxmlformats.org/officeDocument/2006/relationships/hyperlink" Target="#'Aula 12 - Entradas'!A1"/><Relationship Id="rId1" Type="http://schemas.openxmlformats.org/officeDocument/2006/relationships/hyperlink" Target="#'Aula 12 - casdastro de produtos'!A1"/><Relationship Id="rId6" Type="http://schemas.openxmlformats.org/officeDocument/2006/relationships/image" Target="../media/image2.png"/><Relationship Id="rId5" Type="http://schemas.openxmlformats.org/officeDocument/2006/relationships/hyperlink" Target="#'Aula 16 - Dashboard'!A1"/><Relationship Id="rId4" Type="http://schemas.openxmlformats.org/officeDocument/2006/relationships/hyperlink" Target="#'Aula 13 - Controle de Estoque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Aula 16 &#8211; Menu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444501</xdr:colOff>
      <xdr:row>0</xdr:row>
      <xdr:rowOff>0</xdr:rowOff>
    </xdr:from>
    <xdr:to>
      <xdr:col>4</xdr:col>
      <xdr:colOff>1185334</xdr:colOff>
      <xdr:row>0</xdr:row>
      <xdr:rowOff>1244974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F349C8F-B2D5-E2A6-66BF-C2817BE57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7834" y="0"/>
          <a:ext cx="3206750" cy="1244974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47624</xdr:colOff>
      <xdr:row>37</xdr:row>
      <xdr:rowOff>123825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7E77A14-D285-D4F3-2D84-1677BC273744}"/>
            </a:ext>
          </a:extLst>
        </xdr:cNvPr>
        <xdr:cNvSpPr/>
      </xdr:nvSpPr>
      <xdr:spPr>
        <a:xfrm>
          <a:off x="0" y="0"/>
          <a:ext cx="12239624" cy="752475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629493</xdr:colOff>
      <xdr:row>0</xdr:row>
      <xdr:rowOff>87514</xdr:rowOff>
    </xdr:from>
    <xdr:ext cx="3851182" cy="1022972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7338B97-D1F1-C158-DB58-0BD6021C360B}"/>
            </a:ext>
          </a:extLst>
        </xdr:cNvPr>
        <xdr:cNvSpPr/>
      </xdr:nvSpPr>
      <xdr:spPr>
        <a:xfrm>
          <a:off x="2153493" y="87514"/>
          <a:ext cx="3851182" cy="102297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Vulcan</a:t>
          </a:r>
          <a:r>
            <a:rPr lang="pt-BR" sz="3200" b="1" cap="none" spc="0" baseline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 </a:t>
          </a:r>
          <a:r>
            <a:rPr lang="pt-BR" sz="3200" b="1" cap="none" spc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Ortopédeicos</a:t>
          </a:r>
          <a:r>
            <a:rPr lang="pt-BR" sz="3200" b="1" cap="none" spc="0" baseline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 </a:t>
          </a:r>
        </a:p>
        <a:p>
          <a:pPr algn="ctr"/>
          <a:r>
            <a:rPr lang="pt-BR" sz="3200" b="1" cap="none" spc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Controle</a:t>
          </a:r>
          <a:r>
            <a:rPr lang="pt-BR" sz="3200" b="1" cap="none" spc="0" baseline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 de Estoque</a:t>
          </a:r>
          <a:endParaRPr lang="pt-BR" sz="3200" b="1" cap="none" spc="0">
            <a:ln w="22225">
              <a:solidFill>
                <a:srgbClr val="00B0F0"/>
              </a:solidFill>
              <a:prstDash val="solid"/>
            </a:ln>
            <a:solidFill>
              <a:srgbClr val="00B0F0"/>
            </a:solidFill>
            <a:effectLst/>
          </a:endParaRPr>
        </a:p>
      </xdr:txBody>
    </xdr:sp>
    <xdr:clientData/>
  </xdr:oneCellAnchor>
  <xdr:twoCellAnchor>
    <xdr:from>
      <xdr:col>0</xdr:col>
      <xdr:colOff>314324</xdr:colOff>
      <xdr:row>6</xdr:row>
      <xdr:rowOff>142875</xdr:rowOff>
    </xdr:from>
    <xdr:to>
      <xdr:col>2</xdr:col>
      <xdr:colOff>495299</xdr:colOff>
      <xdr:row>10</xdr:row>
      <xdr:rowOff>47625</xdr:rowOff>
    </xdr:to>
    <xdr:sp macro="" textlink="">
      <xdr:nvSpPr>
        <xdr:cNvPr id="6" name="Retângulo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22C9-6072-366A-F12C-B43FEE0A06D6}"/>
            </a:ext>
          </a:extLst>
        </xdr:cNvPr>
        <xdr:cNvSpPr/>
      </xdr:nvSpPr>
      <xdr:spPr>
        <a:xfrm>
          <a:off x="314324" y="1343025"/>
          <a:ext cx="1704975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dados</a:t>
          </a:r>
        </a:p>
      </xdr:txBody>
    </xdr:sp>
    <xdr:clientData/>
  </xdr:twoCellAnchor>
  <xdr:twoCellAnchor>
    <xdr:from>
      <xdr:col>2</xdr:col>
      <xdr:colOff>704850</xdr:colOff>
      <xdr:row>6</xdr:row>
      <xdr:rowOff>152400</xdr:rowOff>
    </xdr:from>
    <xdr:to>
      <xdr:col>5</xdr:col>
      <xdr:colOff>123825</xdr:colOff>
      <xdr:row>10</xdr:row>
      <xdr:rowOff>57150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FD5D5078-C7F7-4EAE-A295-222D04F70D5D}"/>
            </a:ext>
          </a:extLst>
        </xdr:cNvPr>
        <xdr:cNvSpPr/>
      </xdr:nvSpPr>
      <xdr:spPr>
        <a:xfrm>
          <a:off x="2228850" y="1352550"/>
          <a:ext cx="1704975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Entradas</a:t>
          </a:r>
        </a:p>
      </xdr:txBody>
    </xdr:sp>
    <xdr:clientData/>
  </xdr:twoCellAnchor>
  <xdr:twoCellAnchor>
    <xdr:from>
      <xdr:col>5</xdr:col>
      <xdr:colOff>390525</xdr:colOff>
      <xdr:row>6</xdr:row>
      <xdr:rowOff>161925</xdr:rowOff>
    </xdr:from>
    <xdr:to>
      <xdr:col>7</xdr:col>
      <xdr:colOff>571500</xdr:colOff>
      <xdr:row>10</xdr:row>
      <xdr:rowOff>66675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6D302B9-3D14-4AB1-8B0F-AFAFD310F8F8}"/>
            </a:ext>
          </a:extLst>
        </xdr:cNvPr>
        <xdr:cNvSpPr/>
      </xdr:nvSpPr>
      <xdr:spPr>
        <a:xfrm>
          <a:off x="4200525" y="1362075"/>
          <a:ext cx="1704975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saídas</a:t>
          </a:r>
        </a:p>
      </xdr:txBody>
    </xdr:sp>
    <xdr:clientData/>
  </xdr:twoCellAnchor>
  <xdr:twoCellAnchor>
    <xdr:from>
      <xdr:col>8</xdr:col>
      <xdr:colOff>116682</xdr:colOff>
      <xdr:row>6</xdr:row>
      <xdr:rowOff>171449</xdr:rowOff>
    </xdr:from>
    <xdr:to>
      <xdr:col>10</xdr:col>
      <xdr:colOff>297657</xdr:colOff>
      <xdr:row>10</xdr:row>
      <xdr:rowOff>76199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3576679-73C2-4D4F-8771-6CD9361F611C}"/>
            </a:ext>
          </a:extLst>
        </xdr:cNvPr>
        <xdr:cNvSpPr/>
      </xdr:nvSpPr>
      <xdr:spPr>
        <a:xfrm>
          <a:off x="6212682" y="1385887"/>
          <a:ext cx="1704975" cy="714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estoque</a:t>
          </a:r>
        </a:p>
        <a:p>
          <a:pPr algn="ctr"/>
          <a:endParaRPr lang="pt-BR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258536</xdr:colOff>
      <xdr:row>14</xdr:row>
      <xdr:rowOff>40821</xdr:rowOff>
    </xdr:from>
    <xdr:to>
      <xdr:col>6</xdr:col>
      <xdr:colOff>394608</xdr:colOff>
      <xdr:row>16</xdr:row>
      <xdr:rowOff>108857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7036038C-2D3B-4D78-BFCE-5508EBDFF93D}"/>
            </a:ext>
          </a:extLst>
        </xdr:cNvPr>
        <xdr:cNvSpPr/>
      </xdr:nvSpPr>
      <xdr:spPr>
        <a:xfrm>
          <a:off x="3306536" y="2898321"/>
          <a:ext cx="1660072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Dashboard</a:t>
          </a:r>
        </a:p>
        <a:p>
          <a:pPr algn="ctr"/>
          <a:endParaRPr lang="pt-BR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489858</xdr:colOff>
      <xdr:row>0</xdr:row>
      <xdr:rowOff>122464</xdr:rowOff>
    </xdr:from>
    <xdr:to>
      <xdr:col>11</xdr:col>
      <xdr:colOff>96489</xdr:colOff>
      <xdr:row>4</xdr:row>
      <xdr:rowOff>40821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A4E856C-454F-878B-9180-2645B5330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858" y="122464"/>
          <a:ext cx="1892631" cy="7347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444501</xdr:colOff>
      <xdr:row>0</xdr:row>
      <xdr:rowOff>0</xdr:rowOff>
    </xdr:from>
    <xdr:to>
      <xdr:col>4</xdr:col>
      <xdr:colOff>981227</xdr:colOff>
      <xdr:row>0</xdr:row>
      <xdr:rowOff>1244974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3A7A8AC-5AB2-45A3-A8EF-DE48B5139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776" y="0"/>
          <a:ext cx="3207808" cy="1244974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444501</xdr:colOff>
      <xdr:row>0</xdr:row>
      <xdr:rowOff>0</xdr:rowOff>
    </xdr:from>
    <xdr:to>
      <xdr:col>4</xdr:col>
      <xdr:colOff>981227</xdr:colOff>
      <xdr:row>0</xdr:row>
      <xdr:rowOff>1244974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49E8570-5926-430E-AD2B-AA96EAC87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776" y="0"/>
          <a:ext cx="3203726" cy="1244974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59531</xdr:rowOff>
    </xdr:from>
    <xdr:to>
      <xdr:col>0</xdr:col>
      <xdr:colOff>2024062</xdr:colOff>
      <xdr:row>4</xdr:row>
      <xdr:rowOff>142875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5C460-5326-B35A-4057-ED7CE5555B27}"/>
            </a:ext>
          </a:extLst>
        </xdr:cNvPr>
        <xdr:cNvSpPr/>
      </xdr:nvSpPr>
      <xdr:spPr>
        <a:xfrm>
          <a:off x="47625" y="523875"/>
          <a:ext cx="1976437" cy="70246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VOLTAR AO MENU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11907</xdr:rowOff>
    </xdr:from>
    <xdr:to>
      <xdr:col>1</xdr:col>
      <xdr:colOff>1143001</xdr:colOff>
      <xdr:row>3</xdr:row>
      <xdr:rowOff>154781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E3723-F84B-4F43-8EA1-A09031E3F901}"/>
            </a:ext>
          </a:extLst>
        </xdr:cNvPr>
        <xdr:cNvSpPr/>
      </xdr:nvSpPr>
      <xdr:spPr>
        <a:xfrm>
          <a:off x="1" y="214313"/>
          <a:ext cx="1905000" cy="547687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VOLTAR AO MENU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52917</xdr:rowOff>
    </xdr:from>
    <xdr:to>
      <xdr:col>1</xdr:col>
      <xdr:colOff>1058333</xdr:colOff>
      <xdr:row>3</xdr:row>
      <xdr:rowOff>158751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98826D-3946-4DED-A462-F1D58DE567C5}"/>
            </a:ext>
          </a:extLst>
        </xdr:cNvPr>
        <xdr:cNvSpPr/>
      </xdr:nvSpPr>
      <xdr:spPr>
        <a:xfrm>
          <a:off x="0" y="296334"/>
          <a:ext cx="1820333" cy="5080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VOLTAR AO MENU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1</xdr:col>
      <xdr:colOff>752475</xdr:colOff>
      <xdr:row>2</xdr:row>
      <xdr:rowOff>180975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75A25-F598-4436-9A65-40E70BCCFDA2}"/>
            </a:ext>
          </a:extLst>
        </xdr:cNvPr>
        <xdr:cNvSpPr/>
      </xdr:nvSpPr>
      <xdr:spPr>
        <a:xfrm>
          <a:off x="0" y="266700"/>
          <a:ext cx="1514475" cy="4095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 AO MENU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657226</xdr:colOff>
      <xdr:row>14</xdr:row>
      <xdr:rowOff>11907</xdr:rowOff>
    </xdr:from>
    <xdr:to>
      <xdr:col>4</xdr:col>
      <xdr:colOff>264320</xdr:colOff>
      <xdr:row>27</xdr:row>
      <xdr:rowOff>61913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FEC681-8E03-565B-5C03-1EB0BBB4B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700088</xdr:colOff>
      <xdr:row>14</xdr:row>
      <xdr:rowOff>11907</xdr:rowOff>
    </xdr:from>
    <xdr:to>
      <xdr:col>9</xdr:col>
      <xdr:colOff>140494</xdr:colOff>
      <xdr:row>27</xdr:row>
      <xdr:rowOff>64294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69BCCA-BD27-08EF-E5DC-25F7753EC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47624</xdr:colOff>
      <xdr:row>37</xdr:row>
      <xdr:rowOff>123825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0629598-007F-42BE-B8E1-0AA75D14F198}"/>
            </a:ext>
          </a:extLst>
        </xdr:cNvPr>
        <xdr:cNvSpPr/>
      </xdr:nvSpPr>
      <xdr:spPr>
        <a:xfrm>
          <a:off x="0" y="0"/>
          <a:ext cx="12239624" cy="752475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629493</xdr:colOff>
      <xdr:row>0</xdr:row>
      <xdr:rowOff>87514</xdr:rowOff>
    </xdr:from>
    <xdr:ext cx="3851182" cy="1022972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613AFCE-8230-41D1-97F3-C39209E5C5FD}"/>
            </a:ext>
          </a:extLst>
        </xdr:cNvPr>
        <xdr:cNvSpPr/>
      </xdr:nvSpPr>
      <xdr:spPr>
        <a:xfrm>
          <a:off x="2153493" y="87514"/>
          <a:ext cx="3851182" cy="102297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Vulcan</a:t>
          </a:r>
          <a:r>
            <a:rPr lang="pt-BR" sz="3200" b="1" cap="none" spc="0" baseline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 </a:t>
          </a:r>
          <a:r>
            <a:rPr lang="pt-BR" sz="3200" b="1" cap="none" spc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Ortopédeicos</a:t>
          </a:r>
          <a:r>
            <a:rPr lang="pt-BR" sz="3200" b="1" cap="none" spc="0" baseline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 </a:t>
          </a:r>
        </a:p>
        <a:p>
          <a:pPr algn="ctr"/>
          <a:r>
            <a:rPr lang="pt-BR" sz="3200" b="1" cap="none" spc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Controle</a:t>
          </a:r>
          <a:r>
            <a:rPr lang="pt-BR" sz="3200" b="1" cap="none" spc="0" baseline="0">
              <a:ln w="22225">
                <a:solidFill>
                  <a:srgbClr val="00B0F0"/>
                </a:solidFill>
                <a:prstDash val="solid"/>
              </a:ln>
              <a:solidFill>
                <a:srgbClr val="00B0F0"/>
              </a:solidFill>
              <a:effectLst/>
            </a:rPr>
            <a:t> de Estoque</a:t>
          </a:r>
          <a:endParaRPr lang="pt-BR" sz="3200" b="1" cap="none" spc="0">
            <a:ln w="22225">
              <a:solidFill>
                <a:srgbClr val="00B0F0"/>
              </a:solidFill>
              <a:prstDash val="solid"/>
            </a:ln>
            <a:solidFill>
              <a:srgbClr val="00B0F0"/>
            </a:solidFill>
            <a:effectLst/>
          </a:endParaRPr>
        </a:p>
      </xdr:txBody>
    </xdr:sp>
    <xdr:clientData/>
  </xdr:oneCellAnchor>
  <xdr:twoCellAnchor>
    <xdr:from>
      <xdr:col>0</xdr:col>
      <xdr:colOff>314324</xdr:colOff>
      <xdr:row>6</xdr:row>
      <xdr:rowOff>142875</xdr:rowOff>
    </xdr:from>
    <xdr:to>
      <xdr:col>2</xdr:col>
      <xdr:colOff>495299</xdr:colOff>
      <xdr:row>10</xdr:row>
      <xdr:rowOff>47625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FAC91-0022-4063-BF40-141A41380586}"/>
            </a:ext>
          </a:extLst>
        </xdr:cNvPr>
        <xdr:cNvSpPr/>
      </xdr:nvSpPr>
      <xdr:spPr>
        <a:xfrm>
          <a:off x="314324" y="1343025"/>
          <a:ext cx="1704975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dados</a:t>
          </a:r>
        </a:p>
      </xdr:txBody>
    </xdr:sp>
    <xdr:clientData/>
  </xdr:twoCellAnchor>
  <xdr:twoCellAnchor>
    <xdr:from>
      <xdr:col>2</xdr:col>
      <xdr:colOff>704850</xdr:colOff>
      <xdr:row>6</xdr:row>
      <xdr:rowOff>152400</xdr:rowOff>
    </xdr:from>
    <xdr:to>
      <xdr:col>5</xdr:col>
      <xdr:colOff>123825</xdr:colOff>
      <xdr:row>10</xdr:row>
      <xdr:rowOff>57150</xdr:rowOff>
    </xdr:to>
    <xdr:sp macro="" textlink="">
      <xdr:nvSpPr>
        <xdr:cNvPr id="5" name="Retângul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FD12CB-1839-4839-9A09-7AA82377F718}"/>
            </a:ext>
          </a:extLst>
        </xdr:cNvPr>
        <xdr:cNvSpPr/>
      </xdr:nvSpPr>
      <xdr:spPr>
        <a:xfrm>
          <a:off x="2228850" y="1352550"/>
          <a:ext cx="1704975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Entradas</a:t>
          </a:r>
        </a:p>
      </xdr:txBody>
    </xdr:sp>
    <xdr:clientData/>
  </xdr:twoCellAnchor>
  <xdr:twoCellAnchor>
    <xdr:from>
      <xdr:col>5</xdr:col>
      <xdr:colOff>390525</xdr:colOff>
      <xdr:row>6</xdr:row>
      <xdr:rowOff>161925</xdr:rowOff>
    </xdr:from>
    <xdr:to>
      <xdr:col>7</xdr:col>
      <xdr:colOff>571500</xdr:colOff>
      <xdr:row>10</xdr:row>
      <xdr:rowOff>66675</xdr:rowOff>
    </xdr:to>
    <xdr:sp macro="" textlink="">
      <xdr:nvSpPr>
        <xdr:cNvPr id="6" name="Retângul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894168-3B66-4A00-890F-C471A5D23900}"/>
            </a:ext>
          </a:extLst>
        </xdr:cNvPr>
        <xdr:cNvSpPr/>
      </xdr:nvSpPr>
      <xdr:spPr>
        <a:xfrm>
          <a:off x="4200525" y="1362075"/>
          <a:ext cx="1704975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saídas</a:t>
          </a:r>
        </a:p>
      </xdr:txBody>
    </xdr:sp>
    <xdr:clientData/>
  </xdr:twoCellAnchor>
  <xdr:twoCellAnchor>
    <xdr:from>
      <xdr:col>8</xdr:col>
      <xdr:colOff>116682</xdr:colOff>
      <xdr:row>6</xdr:row>
      <xdr:rowOff>171449</xdr:rowOff>
    </xdr:from>
    <xdr:to>
      <xdr:col>10</xdr:col>
      <xdr:colOff>297657</xdr:colOff>
      <xdr:row>10</xdr:row>
      <xdr:rowOff>76199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6CB59C-A7F2-4B6F-AC98-9F074F16549F}"/>
            </a:ext>
          </a:extLst>
        </xdr:cNvPr>
        <xdr:cNvSpPr/>
      </xdr:nvSpPr>
      <xdr:spPr>
        <a:xfrm>
          <a:off x="6212682" y="1371599"/>
          <a:ext cx="1704975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Cadastro de estoque</a:t>
          </a:r>
        </a:p>
        <a:p>
          <a:pPr algn="ctr"/>
          <a:endParaRPr lang="pt-BR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258536</xdr:colOff>
      <xdr:row>14</xdr:row>
      <xdr:rowOff>40821</xdr:rowOff>
    </xdr:from>
    <xdr:to>
      <xdr:col>6</xdr:col>
      <xdr:colOff>394608</xdr:colOff>
      <xdr:row>16</xdr:row>
      <xdr:rowOff>108857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C6FC61-BE90-4CCB-AF7F-A2C8DBFC700F}"/>
            </a:ext>
          </a:extLst>
        </xdr:cNvPr>
        <xdr:cNvSpPr/>
      </xdr:nvSpPr>
      <xdr:spPr>
        <a:xfrm>
          <a:off x="3306536" y="2841171"/>
          <a:ext cx="1660072" cy="46808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tx1">
                  <a:lumMod val="95000"/>
                  <a:lumOff val="5000"/>
                </a:schemeClr>
              </a:solidFill>
            </a:rPr>
            <a:t>Dashboard</a:t>
          </a:r>
        </a:p>
        <a:p>
          <a:pPr algn="ctr"/>
          <a:endParaRPr lang="pt-BR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489858</xdr:colOff>
      <xdr:row>0</xdr:row>
      <xdr:rowOff>122464</xdr:rowOff>
    </xdr:from>
    <xdr:to>
      <xdr:col>11</xdr:col>
      <xdr:colOff>96489</xdr:colOff>
      <xdr:row>4</xdr:row>
      <xdr:rowOff>40821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5D5F0E9-FF7E-478C-AA33-1F6C8F2E1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858" y="122464"/>
          <a:ext cx="1892631" cy="71845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9525</xdr:rowOff>
    </xdr:from>
    <xdr:to>
      <xdr:col>4</xdr:col>
      <xdr:colOff>19050</xdr:colOff>
      <xdr:row>7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0FB2B33-DE8B-5215-77DE-A40C5C50C31B}"/>
            </a:ext>
          </a:extLst>
        </xdr:cNvPr>
        <xdr:cNvSpPr/>
      </xdr:nvSpPr>
      <xdr:spPr>
        <a:xfrm>
          <a:off x="66675" y="857250"/>
          <a:ext cx="3000375" cy="7905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704849</xdr:colOff>
      <xdr:row>3</xdr:row>
      <xdr:rowOff>9525</xdr:rowOff>
    </xdr:from>
    <xdr:to>
      <xdr:col>9</xdr:col>
      <xdr:colOff>0</xdr:colOff>
      <xdr:row>7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74AF16B-0C4D-4526-A202-B1CCC1316C19}"/>
            </a:ext>
          </a:extLst>
        </xdr:cNvPr>
        <xdr:cNvSpPr/>
      </xdr:nvSpPr>
      <xdr:spPr>
        <a:xfrm>
          <a:off x="3752849" y="857250"/>
          <a:ext cx="3105151" cy="7905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76201</xdr:colOff>
      <xdr:row>8</xdr:row>
      <xdr:rowOff>0</xdr:rowOff>
    </xdr:from>
    <xdr:to>
      <xdr:col>4</xdr:col>
      <xdr:colOff>38101</xdr:colOff>
      <xdr:row>11</xdr:row>
      <xdr:rowOff>190500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00FCC1B-10A2-4E4C-B157-74A5634B1379}"/>
            </a:ext>
          </a:extLst>
        </xdr:cNvPr>
        <xdr:cNvSpPr/>
      </xdr:nvSpPr>
      <xdr:spPr>
        <a:xfrm>
          <a:off x="76201" y="1847850"/>
          <a:ext cx="3009900" cy="7905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685799</xdr:colOff>
      <xdr:row>8</xdr:row>
      <xdr:rowOff>19050</xdr:rowOff>
    </xdr:from>
    <xdr:to>
      <xdr:col>9</xdr:col>
      <xdr:colOff>28574</xdr:colOff>
      <xdr:row>12</xdr:row>
      <xdr:rowOff>9525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5E4C3CB-A162-48EA-B796-B10405E86332}"/>
            </a:ext>
          </a:extLst>
        </xdr:cNvPr>
        <xdr:cNvSpPr/>
      </xdr:nvSpPr>
      <xdr:spPr>
        <a:xfrm>
          <a:off x="3733799" y="1866900"/>
          <a:ext cx="3152775" cy="7905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609600</xdr:colOff>
      <xdr:row>3</xdr:row>
      <xdr:rowOff>57151</xdr:rowOff>
    </xdr:from>
    <xdr:to>
      <xdr:col>3</xdr:col>
      <xdr:colOff>228600</xdr:colOff>
      <xdr:row>5</xdr:row>
      <xdr:rowOff>28575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7118683A-8A3D-005D-F6E4-67D37AF98FE0}"/>
            </a:ext>
          </a:extLst>
        </xdr:cNvPr>
        <xdr:cNvSpPr txBox="1"/>
      </xdr:nvSpPr>
      <xdr:spPr>
        <a:xfrm>
          <a:off x="609600" y="914401"/>
          <a:ext cx="1905000" cy="3796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TOTAL</a:t>
          </a:r>
          <a:r>
            <a:rPr lang="pt-BR" sz="1100" baseline="0"/>
            <a:t> DE FORNECEDORES</a:t>
          </a:r>
        </a:p>
        <a:p>
          <a:endParaRPr lang="pt-BR" sz="1100"/>
        </a:p>
      </xdr:txBody>
    </xdr:sp>
    <xdr:clientData/>
  </xdr:twoCellAnchor>
  <xdr:twoCellAnchor>
    <xdr:from>
      <xdr:col>5</xdr:col>
      <xdr:colOff>409575</xdr:colOff>
      <xdr:row>3</xdr:row>
      <xdr:rowOff>19050</xdr:rowOff>
    </xdr:from>
    <xdr:to>
      <xdr:col>8</xdr:col>
      <xdr:colOff>19050</xdr:colOff>
      <xdr:row>4</xdr:row>
      <xdr:rowOff>180975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6CF37333-F07B-4474-A545-A348FA2D5AFC}"/>
            </a:ext>
          </a:extLst>
        </xdr:cNvPr>
        <xdr:cNvSpPr txBox="1"/>
      </xdr:nvSpPr>
      <xdr:spPr>
        <a:xfrm>
          <a:off x="4219575" y="866775"/>
          <a:ext cx="18954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TOTAL</a:t>
          </a:r>
          <a:r>
            <a:rPr lang="pt-BR" sz="1100" baseline="0"/>
            <a:t> DE LOJAS</a:t>
          </a:r>
          <a:endParaRPr lang="pt-BR" sz="1100"/>
        </a:p>
      </xdr:txBody>
    </xdr:sp>
    <xdr:clientData/>
  </xdr:twoCellAnchor>
  <xdr:twoCellAnchor>
    <xdr:from>
      <xdr:col>1</xdr:col>
      <xdr:colOff>228600</xdr:colOff>
      <xdr:row>8</xdr:row>
      <xdr:rowOff>28575</xdr:rowOff>
    </xdr:from>
    <xdr:to>
      <xdr:col>3</xdr:col>
      <xdr:colOff>628650</xdr:colOff>
      <xdr:row>9</xdr:row>
      <xdr:rowOff>180975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41292627-2471-481B-8D20-16EDFCD51EE5}"/>
            </a:ext>
          </a:extLst>
        </xdr:cNvPr>
        <xdr:cNvSpPr txBox="1"/>
      </xdr:nvSpPr>
      <xdr:spPr>
        <a:xfrm>
          <a:off x="990600" y="1876425"/>
          <a:ext cx="19240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RECEITA TOTAL</a:t>
          </a:r>
          <a:endParaRPr lang="pt-BR" sz="1100" baseline="0"/>
        </a:p>
        <a:p>
          <a:endParaRPr lang="pt-BR" sz="1100"/>
        </a:p>
      </xdr:txBody>
    </xdr:sp>
    <xdr:clientData/>
  </xdr:twoCellAnchor>
  <xdr:twoCellAnchor>
    <xdr:from>
      <xdr:col>5</xdr:col>
      <xdr:colOff>466725</xdr:colOff>
      <xdr:row>8</xdr:row>
      <xdr:rowOff>38100</xdr:rowOff>
    </xdr:from>
    <xdr:to>
      <xdr:col>8</xdr:col>
      <xdr:colOff>38100</xdr:colOff>
      <xdr:row>9</xdr:row>
      <xdr:rowOff>161925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279B81A8-8AE0-4416-95F3-995C9BE156E1}"/>
            </a:ext>
          </a:extLst>
        </xdr:cNvPr>
        <xdr:cNvSpPr txBox="1"/>
      </xdr:nvSpPr>
      <xdr:spPr>
        <a:xfrm>
          <a:off x="4276725" y="1885950"/>
          <a:ext cx="18573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CUSTO TOTAL</a:t>
          </a:r>
        </a:p>
      </xdr:txBody>
    </xdr:sp>
    <xdr:clientData/>
  </xdr:twoCellAnchor>
  <xdr:twoCellAnchor>
    <xdr:from>
      <xdr:col>7</xdr:col>
      <xdr:colOff>503464</xdr:colOff>
      <xdr:row>0</xdr:row>
      <xdr:rowOff>13608</xdr:rowOff>
    </xdr:from>
    <xdr:to>
      <xdr:col>10</xdr:col>
      <xdr:colOff>98651</xdr:colOff>
      <xdr:row>1</xdr:row>
      <xdr:rowOff>13608</xdr:rowOff>
    </xdr:to>
    <xdr:sp macro="" textlink="">
      <xdr:nvSpPr>
        <xdr:cNvPr id="10" name="Retângulo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AEBD0-EAE8-40D8-A0B8-BD0AA5502465}"/>
            </a:ext>
          </a:extLst>
        </xdr:cNvPr>
        <xdr:cNvSpPr/>
      </xdr:nvSpPr>
      <xdr:spPr>
        <a:xfrm>
          <a:off x="5837464" y="13608"/>
          <a:ext cx="1881187" cy="449036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 AO MENU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Cortar">
  <a:themeElements>
    <a:clrScheme name="Cortar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ortar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ortar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endas@formacerta.com.br" TargetMode="External"/><Relationship Id="rId2" Type="http://schemas.openxmlformats.org/officeDocument/2006/relationships/hyperlink" Target="mailto:vendas@altopinheiro.com.br" TargetMode="External"/><Relationship Id="rId1" Type="http://schemas.openxmlformats.org/officeDocument/2006/relationships/hyperlink" Target="mailto:vendas@belavista.com.br" TargetMode="External"/><Relationship Id="rId5" Type="http://schemas.openxmlformats.org/officeDocument/2006/relationships/hyperlink" Target="mailto:vendas@p&#233;perfeito.com.br" TargetMode="External"/><Relationship Id="rId4" Type="http://schemas.openxmlformats.org/officeDocument/2006/relationships/hyperlink" Target="mailto:vendas@novoestilo.com.b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to@recantocalcados.com.br" TargetMode="External"/><Relationship Id="rId2" Type="http://schemas.openxmlformats.org/officeDocument/2006/relationships/hyperlink" Target="mailto:contato@peperfeirto.com.br" TargetMode="External"/><Relationship Id="rId1" Type="http://schemas.openxmlformats.org/officeDocument/2006/relationships/hyperlink" Target="mailto:contato@peperfeirto.com.b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ontato@teniaatual.com.br" TargetMode="External"/><Relationship Id="rId4" Type="http://schemas.openxmlformats.org/officeDocument/2006/relationships/hyperlink" Target="mailto:contato@esportecalcados.com.b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B774-1DEB-48BD-9A28-E704194F90E3}">
  <dimension ref="A1:E19"/>
  <sheetViews>
    <sheetView topLeftCell="A11" workbookViewId="0">
      <selection activeCell="B19" sqref="B19"/>
    </sheetView>
  </sheetViews>
  <sheetFormatPr defaultRowHeight="15.75" x14ac:dyDescent="0.3"/>
  <cols>
    <col min="2" max="2" width="24.33203125" customWidth="1"/>
    <col min="3" max="3" width="12.44140625" customWidth="1"/>
    <col min="4" max="4" width="16.33203125" customWidth="1"/>
    <col min="5" max="5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17</v>
      </c>
      <c r="D2" t="s">
        <v>21</v>
      </c>
      <c r="E2">
        <v>5000</v>
      </c>
    </row>
    <row r="3" spans="1:5" x14ac:dyDescent="0.3">
      <c r="A3" t="s">
        <v>5</v>
      </c>
      <c r="B3" t="s">
        <v>7</v>
      </c>
      <c r="C3" t="s">
        <v>18</v>
      </c>
      <c r="D3" t="s">
        <v>22</v>
      </c>
      <c r="E3">
        <v>3200</v>
      </c>
    </row>
    <row r="4" spans="1:5" x14ac:dyDescent="0.3">
      <c r="A4" t="s">
        <v>5</v>
      </c>
      <c r="B4" t="s">
        <v>8</v>
      </c>
      <c r="C4" t="s">
        <v>17</v>
      </c>
      <c r="D4" t="s">
        <v>23</v>
      </c>
      <c r="E4">
        <v>2500</v>
      </c>
    </row>
    <row r="5" spans="1:5" x14ac:dyDescent="0.3">
      <c r="A5" t="s">
        <v>5</v>
      </c>
      <c r="B5" t="s">
        <v>9</v>
      </c>
      <c r="C5" t="s">
        <v>19</v>
      </c>
      <c r="D5" t="s">
        <v>24</v>
      </c>
      <c r="E5">
        <v>11000</v>
      </c>
    </row>
    <row r="6" spans="1:5" x14ac:dyDescent="0.3">
      <c r="A6" t="s">
        <v>5</v>
      </c>
      <c r="B6" t="s">
        <v>9</v>
      </c>
      <c r="C6" t="s">
        <v>18</v>
      </c>
      <c r="D6" t="s">
        <v>25</v>
      </c>
      <c r="E6">
        <v>9000</v>
      </c>
    </row>
    <row r="7" spans="1:5" x14ac:dyDescent="0.3">
      <c r="A7" t="s">
        <v>5</v>
      </c>
      <c r="B7" t="s">
        <v>10</v>
      </c>
      <c r="C7" t="s">
        <v>17</v>
      </c>
      <c r="D7" t="s">
        <v>26</v>
      </c>
      <c r="E7">
        <v>15000</v>
      </c>
    </row>
    <row r="8" spans="1:5" x14ac:dyDescent="0.3">
      <c r="A8" t="s">
        <v>5</v>
      </c>
      <c r="B8" t="s">
        <v>10</v>
      </c>
      <c r="C8" t="s">
        <v>18</v>
      </c>
      <c r="D8" t="s">
        <v>27</v>
      </c>
      <c r="E8">
        <v>15000</v>
      </c>
    </row>
    <row r="9" spans="1:5" x14ac:dyDescent="0.3">
      <c r="A9" t="s">
        <v>5</v>
      </c>
      <c r="B9" t="s">
        <v>11</v>
      </c>
      <c r="C9" t="s">
        <v>20</v>
      </c>
      <c r="D9" t="s">
        <v>28</v>
      </c>
      <c r="E9">
        <v>4300</v>
      </c>
    </row>
    <row r="10" spans="1:5" x14ac:dyDescent="0.3">
      <c r="A10" t="s">
        <v>5</v>
      </c>
      <c r="B10" t="s">
        <v>11</v>
      </c>
      <c r="C10" t="s">
        <v>18</v>
      </c>
      <c r="D10" t="s">
        <v>29</v>
      </c>
      <c r="E10">
        <v>2400</v>
      </c>
    </row>
    <row r="11" spans="1:5" x14ac:dyDescent="0.3">
      <c r="A11" t="s">
        <v>5</v>
      </c>
      <c r="B11" t="s">
        <v>12</v>
      </c>
      <c r="C11" t="s">
        <v>17</v>
      </c>
      <c r="D11" t="s">
        <v>30</v>
      </c>
      <c r="E11">
        <v>8000</v>
      </c>
    </row>
    <row r="12" spans="1:5" x14ac:dyDescent="0.3">
      <c r="A12" t="s">
        <v>5</v>
      </c>
      <c r="B12" t="s">
        <v>12</v>
      </c>
      <c r="C12" t="s">
        <v>18</v>
      </c>
      <c r="D12" t="s">
        <v>31</v>
      </c>
      <c r="E12">
        <v>10000</v>
      </c>
    </row>
    <row r="13" spans="1:5" x14ac:dyDescent="0.3">
      <c r="A13" t="s">
        <v>5</v>
      </c>
      <c r="B13" t="s">
        <v>13</v>
      </c>
      <c r="C13" t="s">
        <v>17</v>
      </c>
      <c r="D13" t="s">
        <v>32</v>
      </c>
      <c r="E13">
        <v>14000</v>
      </c>
    </row>
    <row r="14" spans="1:5" x14ac:dyDescent="0.3">
      <c r="A14" t="s">
        <v>5</v>
      </c>
      <c r="B14" t="s">
        <v>13</v>
      </c>
      <c r="C14" t="s">
        <v>18</v>
      </c>
      <c r="D14" t="s">
        <v>33</v>
      </c>
      <c r="E14">
        <v>14000</v>
      </c>
    </row>
    <row r="15" spans="1:5" x14ac:dyDescent="0.3">
      <c r="A15" t="s">
        <v>5</v>
      </c>
      <c r="B15" t="s">
        <v>14</v>
      </c>
      <c r="C15" t="s">
        <v>17</v>
      </c>
      <c r="D15" t="s">
        <v>34</v>
      </c>
      <c r="E15">
        <v>1500</v>
      </c>
    </row>
    <row r="16" spans="1:5" x14ac:dyDescent="0.3">
      <c r="A16" t="s">
        <v>5</v>
      </c>
      <c r="B16" t="s">
        <v>14</v>
      </c>
      <c r="C16" t="s">
        <v>18</v>
      </c>
      <c r="D16" t="s">
        <v>34</v>
      </c>
      <c r="E16">
        <v>4000</v>
      </c>
    </row>
    <row r="17" spans="1:5" x14ac:dyDescent="0.3">
      <c r="A17" t="s">
        <v>5</v>
      </c>
      <c r="B17" t="s">
        <v>15</v>
      </c>
      <c r="C17" t="s">
        <v>17</v>
      </c>
      <c r="D17" t="s">
        <v>35</v>
      </c>
      <c r="E17">
        <v>6000</v>
      </c>
    </row>
    <row r="18" spans="1:5" x14ac:dyDescent="0.3">
      <c r="A18" t="s">
        <v>5</v>
      </c>
      <c r="B18" t="s">
        <v>16</v>
      </c>
      <c r="C18" t="s">
        <v>17</v>
      </c>
      <c r="D18" t="s">
        <v>36</v>
      </c>
      <c r="E18">
        <v>1000</v>
      </c>
    </row>
    <row r="19" spans="1:5" x14ac:dyDescent="0.3">
      <c r="A19" t="s">
        <v>5</v>
      </c>
      <c r="B19" t="s">
        <v>16</v>
      </c>
      <c r="C19" t="s">
        <v>18</v>
      </c>
      <c r="D19" t="s">
        <v>37</v>
      </c>
      <c r="E19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FEB1-274E-4517-95C0-E1629DB93193}">
  <sheetPr>
    <tabColor rgb="FFFFFF00"/>
  </sheetPr>
  <dimension ref="A1:E27"/>
  <sheetViews>
    <sheetView workbookViewId="0">
      <pane ySplit="2" topLeftCell="A3" activePane="bottomLeft" state="frozen"/>
      <selection pane="bottomLeft" activeCell="G7" sqref="G7"/>
    </sheetView>
  </sheetViews>
  <sheetFormatPr defaultRowHeight="15.75" x14ac:dyDescent="0.3"/>
  <cols>
    <col min="1" max="1" width="10.21875" customWidth="1"/>
    <col min="2" max="2" width="24.33203125" customWidth="1"/>
    <col min="3" max="3" width="12.44140625" customWidth="1"/>
    <col min="4" max="4" width="16.33203125" customWidth="1"/>
    <col min="5" max="5" width="16.109375" customWidth="1"/>
  </cols>
  <sheetData>
    <row r="1" spans="1:5" s="1" customFormat="1" ht="24" x14ac:dyDescent="0.4">
      <c r="A1" s="1" t="s">
        <v>46</v>
      </c>
    </row>
    <row r="2" spans="1:5" x14ac:dyDescent="0.3">
      <c r="A2" t="s">
        <v>0</v>
      </c>
      <c r="B2" t="s">
        <v>1</v>
      </c>
      <c r="C2" t="s">
        <v>2</v>
      </c>
      <c r="D2" t="s">
        <v>45</v>
      </c>
      <c r="E2" t="s">
        <v>44</v>
      </c>
    </row>
    <row r="3" spans="1:5" x14ac:dyDescent="0.3">
      <c r="A3" t="s">
        <v>5</v>
      </c>
      <c r="B3" t="s">
        <v>6</v>
      </c>
      <c r="C3" t="s">
        <v>17</v>
      </c>
      <c r="D3" t="s">
        <v>21</v>
      </c>
      <c r="E3">
        <v>5000</v>
      </c>
    </row>
    <row r="4" spans="1:5" x14ac:dyDescent="0.3">
      <c r="A4" t="s">
        <v>5</v>
      </c>
      <c r="B4" t="s">
        <v>7</v>
      </c>
      <c r="C4" t="s">
        <v>18</v>
      </c>
      <c r="D4" t="s">
        <v>22</v>
      </c>
      <c r="E4">
        <v>3200</v>
      </c>
    </row>
    <row r="5" spans="1:5" x14ac:dyDescent="0.3">
      <c r="A5" t="s">
        <v>5</v>
      </c>
      <c r="B5" t="s">
        <v>8</v>
      </c>
      <c r="C5" t="s">
        <v>17</v>
      </c>
      <c r="D5" t="s">
        <v>23</v>
      </c>
      <c r="E5">
        <v>2500</v>
      </c>
    </row>
    <row r="6" spans="1:5" x14ac:dyDescent="0.3">
      <c r="A6" t="s">
        <v>5</v>
      </c>
      <c r="B6" t="s">
        <v>9</v>
      </c>
      <c r="C6" t="s">
        <v>19</v>
      </c>
      <c r="D6" t="s">
        <v>24</v>
      </c>
      <c r="E6">
        <v>11000</v>
      </c>
    </row>
    <row r="7" spans="1:5" x14ac:dyDescent="0.3">
      <c r="A7" t="s">
        <v>5</v>
      </c>
      <c r="B7" t="s">
        <v>9</v>
      </c>
      <c r="C7" t="s">
        <v>18</v>
      </c>
      <c r="D7" t="s">
        <v>25</v>
      </c>
      <c r="E7">
        <v>9000</v>
      </c>
    </row>
    <row r="8" spans="1:5" x14ac:dyDescent="0.3">
      <c r="A8" t="s">
        <v>5</v>
      </c>
      <c r="B8" t="s">
        <v>10</v>
      </c>
      <c r="C8" t="s">
        <v>17</v>
      </c>
      <c r="D8" t="s">
        <v>26</v>
      </c>
      <c r="E8">
        <v>15000</v>
      </c>
    </row>
    <row r="9" spans="1:5" x14ac:dyDescent="0.3">
      <c r="A9" t="s">
        <v>5</v>
      </c>
      <c r="B9" t="s">
        <v>10</v>
      </c>
      <c r="C9" t="s">
        <v>18</v>
      </c>
      <c r="D9" t="s">
        <v>27</v>
      </c>
      <c r="E9">
        <v>15000</v>
      </c>
    </row>
    <row r="10" spans="1:5" x14ac:dyDescent="0.3">
      <c r="A10" t="s">
        <v>5</v>
      </c>
      <c r="B10" t="s">
        <v>11</v>
      </c>
      <c r="C10" t="s">
        <v>20</v>
      </c>
      <c r="D10" t="s">
        <v>28</v>
      </c>
      <c r="E10">
        <v>4300</v>
      </c>
    </row>
    <row r="11" spans="1:5" x14ac:dyDescent="0.3">
      <c r="A11" t="s">
        <v>5</v>
      </c>
      <c r="B11" t="s">
        <v>11</v>
      </c>
      <c r="C11" t="s">
        <v>18</v>
      </c>
      <c r="D11" t="s">
        <v>29</v>
      </c>
      <c r="E11">
        <v>2400</v>
      </c>
    </row>
    <row r="12" spans="1:5" x14ac:dyDescent="0.3">
      <c r="A12" t="s">
        <v>5</v>
      </c>
      <c r="B12" t="s">
        <v>12</v>
      </c>
      <c r="C12" t="s">
        <v>17</v>
      </c>
      <c r="D12" t="s">
        <v>30</v>
      </c>
      <c r="E12">
        <v>8000</v>
      </c>
    </row>
    <row r="13" spans="1:5" x14ac:dyDescent="0.3">
      <c r="A13" t="s">
        <v>5</v>
      </c>
      <c r="B13" t="s">
        <v>12</v>
      </c>
      <c r="C13" t="s">
        <v>18</v>
      </c>
      <c r="D13" t="s">
        <v>31</v>
      </c>
      <c r="E13">
        <v>10000</v>
      </c>
    </row>
    <row r="14" spans="1:5" x14ac:dyDescent="0.3">
      <c r="A14" t="s">
        <v>5</v>
      </c>
      <c r="B14" t="s">
        <v>13</v>
      </c>
      <c r="C14" t="s">
        <v>17</v>
      </c>
      <c r="D14" t="s">
        <v>32</v>
      </c>
      <c r="E14">
        <v>14000</v>
      </c>
    </row>
    <row r="15" spans="1:5" x14ac:dyDescent="0.3">
      <c r="A15" t="s">
        <v>5</v>
      </c>
      <c r="B15" t="s">
        <v>13</v>
      </c>
      <c r="C15" t="s">
        <v>18</v>
      </c>
      <c r="D15" t="s">
        <v>33</v>
      </c>
      <c r="E15">
        <v>14000</v>
      </c>
    </row>
    <row r="16" spans="1:5" x14ac:dyDescent="0.3">
      <c r="A16" t="s">
        <v>5</v>
      </c>
      <c r="B16" t="s">
        <v>14</v>
      </c>
      <c r="C16" t="s">
        <v>17</v>
      </c>
      <c r="D16" t="s">
        <v>34</v>
      </c>
      <c r="E16">
        <v>1500</v>
      </c>
    </row>
    <row r="17" spans="1:5" x14ac:dyDescent="0.3">
      <c r="A17" t="s">
        <v>5</v>
      </c>
      <c r="B17" t="s">
        <v>14</v>
      </c>
      <c r="C17" t="s">
        <v>18</v>
      </c>
      <c r="D17" t="s">
        <v>34</v>
      </c>
      <c r="E17">
        <v>4000</v>
      </c>
    </row>
    <row r="18" spans="1:5" x14ac:dyDescent="0.3">
      <c r="A18" t="s">
        <v>5</v>
      </c>
      <c r="B18" t="s">
        <v>15</v>
      </c>
      <c r="C18" t="s">
        <v>17</v>
      </c>
      <c r="D18" t="s">
        <v>35</v>
      </c>
      <c r="E18">
        <v>6000</v>
      </c>
    </row>
    <row r="19" spans="1:5" x14ac:dyDescent="0.3">
      <c r="A19" t="s">
        <v>5</v>
      </c>
      <c r="B19" t="s">
        <v>16</v>
      </c>
      <c r="C19" t="s">
        <v>17</v>
      </c>
      <c r="D19" t="s">
        <v>36</v>
      </c>
      <c r="E19">
        <v>1000</v>
      </c>
    </row>
    <row r="20" spans="1:5" x14ac:dyDescent="0.3">
      <c r="A20" t="s">
        <v>5</v>
      </c>
      <c r="B20" t="s">
        <v>16</v>
      </c>
      <c r="C20" t="s">
        <v>18</v>
      </c>
      <c r="D20" t="s">
        <v>37</v>
      </c>
      <c r="E20">
        <v>1000</v>
      </c>
    </row>
    <row r="21" spans="1:5" x14ac:dyDescent="0.3">
      <c r="A21" t="s">
        <v>38</v>
      </c>
      <c r="B21" t="s">
        <v>39</v>
      </c>
      <c r="C21" t="s">
        <v>17</v>
      </c>
      <c r="D21" t="s">
        <v>28</v>
      </c>
      <c r="E21">
        <v>500</v>
      </c>
    </row>
    <row r="22" spans="1:5" x14ac:dyDescent="0.3">
      <c r="A22" t="s">
        <v>38</v>
      </c>
      <c r="B22" t="s">
        <v>39</v>
      </c>
      <c r="C22" t="s">
        <v>17</v>
      </c>
      <c r="D22" t="s">
        <v>24</v>
      </c>
      <c r="E22">
        <v>700</v>
      </c>
    </row>
    <row r="23" spans="1:5" x14ac:dyDescent="0.3">
      <c r="A23" t="s">
        <v>38</v>
      </c>
      <c r="B23" t="s">
        <v>40</v>
      </c>
      <c r="C23" t="s">
        <v>17</v>
      </c>
      <c r="D23" t="s">
        <v>21</v>
      </c>
      <c r="E23">
        <v>500</v>
      </c>
    </row>
    <row r="24" spans="1:5" x14ac:dyDescent="0.3">
      <c r="A24" t="s">
        <v>38</v>
      </c>
      <c r="B24" t="s">
        <v>11</v>
      </c>
      <c r="C24" t="s">
        <v>17</v>
      </c>
      <c r="D24" t="s">
        <v>24</v>
      </c>
      <c r="E24">
        <v>2200</v>
      </c>
    </row>
    <row r="25" spans="1:5" x14ac:dyDescent="0.3">
      <c r="A25" t="s">
        <v>38</v>
      </c>
      <c r="B25" t="s">
        <v>41</v>
      </c>
      <c r="C25" t="s">
        <v>17</v>
      </c>
      <c r="D25" t="s">
        <v>24</v>
      </c>
      <c r="E25">
        <v>400</v>
      </c>
    </row>
    <row r="26" spans="1:5" x14ac:dyDescent="0.3">
      <c r="A26" t="s">
        <v>38</v>
      </c>
      <c r="B26" t="s">
        <v>42</v>
      </c>
      <c r="C26" t="s">
        <v>17</v>
      </c>
      <c r="D26" t="s">
        <v>28</v>
      </c>
      <c r="E26">
        <v>100</v>
      </c>
    </row>
    <row r="27" spans="1:5" x14ac:dyDescent="0.3">
      <c r="A27" t="s">
        <v>38</v>
      </c>
      <c r="B27" t="s">
        <v>43</v>
      </c>
      <c r="C27" t="s">
        <v>17</v>
      </c>
      <c r="D27" t="s">
        <v>21</v>
      </c>
      <c r="E27"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5775-B2B6-4DCA-B853-9A7F1DC035A8}">
  <sheetPr>
    <tabColor rgb="FFFF0000"/>
  </sheetPr>
  <dimension ref="A1:G22"/>
  <sheetViews>
    <sheetView zoomScale="90" zoomScaleNormal="90" workbookViewId="0">
      <pane ySplit="2" topLeftCell="A3" activePane="bottomLeft" state="frozen"/>
      <selection pane="bottomLeft" activeCell="E12" sqref="E12"/>
    </sheetView>
  </sheetViews>
  <sheetFormatPr defaultRowHeight="15.75" x14ac:dyDescent="0.3"/>
  <cols>
    <col min="1" max="1" width="10.21875" customWidth="1"/>
    <col min="2" max="2" width="24.33203125" customWidth="1"/>
    <col min="3" max="3" width="12.44140625" customWidth="1"/>
    <col min="4" max="4" width="16.33203125" customWidth="1"/>
    <col min="5" max="5" width="16.109375" customWidth="1"/>
    <col min="6" max="6" width="13.109375" customWidth="1"/>
    <col min="7" max="7" width="16.77734375" customWidth="1"/>
  </cols>
  <sheetData>
    <row r="1" spans="1:7" s="1" customFormat="1" ht="24" x14ac:dyDescent="0.4">
      <c r="A1" s="64" t="s">
        <v>50</v>
      </c>
      <c r="B1" s="65"/>
      <c r="C1" s="65"/>
      <c r="D1" s="65"/>
      <c r="E1" s="65"/>
      <c r="F1" s="65"/>
      <c r="G1" s="65"/>
    </row>
    <row r="2" spans="1:7" x14ac:dyDescent="0.3">
      <c r="A2" s="3" t="s">
        <v>0</v>
      </c>
      <c r="B2" s="3" t="s">
        <v>1</v>
      </c>
      <c r="C2" s="3" t="s">
        <v>2</v>
      </c>
      <c r="D2" s="3" t="s">
        <v>45</v>
      </c>
      <c r="E2" s="3" t="s">
        <v>44</v>
      </c>
      <c r="F2" s="3" t="s">
        <v>47</v>
      </c>
      <c r="G2" s="3" t="s">
        <v>48</v>
      </c>
    </row>
    <row r="3" spans="1:7" x14ac:dyDescent="0.3">
      <c r="A3" t="s">
        <v>5</v>
      </c>
      <c r="B3" t="s">
        <v>6</v>
      </c>
      <c r="C3" t="s">
        <v>17</v>
      </c>
      <c r="D3" t="s">
        <v>21</v>
      </c>
      <c r="E3">
        <v>5000</v>
      </c>
      <c r="F3" s="2">
        <v>130</v>
      </c>
      <c r="G3" s="2">
        <v>650000</v>
      </c>
    </row>
    <row r="4" spans="1:7" x14ac:dyDescent="0.3">
      <c r="A4" t="s">
        <v>5</v>
      </c>
      <c r="B4" t="s">
        <v>7</v>
      </c>
      <c r="C4" t="s">
        <v>18</v>
      </c>
      <c r="D4" t="s">
        <v>22</v>
      </c>
      <c r="E4">
        <v>3200</v>
      </c>
      <c r="F4" s="2">
        <v>90</v>
      </c>
      <c r="G4" s="2">
        <v>288000</v>
      </c>
    </row>
    <row r="5" spans="1:7" x14ac:dyDescent="0.3">
      <c r="A5" t="s">
        <v>5</v>
      </c>
      <c r="B5" t="s">
        <v>8</v>
      </c>
      <c r="C5" t="s">
        <v>17</v>
      </c>
      <c r="D5" t="s">
        <v>23</v>
      </c>
      <c r="E5" s="4">
        <v>2500</v>
      </c>
      <c r="F5" s="2">
        <v>140</v>
      </c>
      <c r="G5" s="2">
        <v>350000</v>
      </c>
    </row>
    <row r="6" spans="1:7" x14ac:dyDescent="0.3">
      <c r="A6" t="s">
        <v>5</v>
      </c>
      <c r="B6" t="s">
        <v>9</v>
      </c>
      <c r="C6" t="s">
        <v>19</v>
      </c>
      <c r="D6" t="s">
        <v>24</v>
      </c>
      <c r="E6" s="4">
        <v>11000</v>
      </c>
      <c r="F6" s="2">
        <v>100</v>
      </c>
      <c r="G6" s="2">
        <v>1100000</v>
      </c>
    </row>
    <row r="7" spans="1:7" x14ac:dyDescent="0.3">
      <c r="A7" t="s">
        <v>5</v>
      </c>
      <c r="B7" t="s">
        <v>9</v>
      </c>
      <c r="C7" t="s">
        <v>18</v>
      </c>
      <c r="D7" t="s">
        <v>25</v>
      </c>
      <c r="E7" s="4">
        <v>9000</v>
      </c>
      <c r="F7" s="2">
        <v>100</v>
      </c>
      <c r="G7" s="2">
        <v>900000</v>
      </c>
    </row>
    <row r="8" spans="1:7" x14ac:dyDescent="0.3">
      <c r="A8" t="s">
        <v>5</v>
      </c>
      <c r="B8" t="s">
        <v>10</v>
      </c>
      <c r="C8" t="s">
        <v>17</v>
      </c>
      <c r="D8" t="s">
        <v>26</v>
      </c>
      <c r="E8" s="4">
        <v>15000</v>
      </c>
      <c r="F8" s="2">
        <v>165</v>
      </c>
      <c r="G8" s="2">
        <v>2475000</v>
      </c>
    </row>
    <row r="9" spans="1:7" x14ac:dyDescent="0.3">
      <c r="A9" t="s">
        <v>5</v>
      </c>
      <c r="B9" t="s">
        <v>10</v>
      </c>
      <c r="C9" t="s">
        <v>18</v>
      </c>
      <c r="D9" t="s">
        <v>27</v>
      </c>
      <c r="E9" s="4">
        <v>15000</v>
      </c>
      <c r="F9" s="2">
        <v>165</v>
      </c>
      <c r="G9" s="2">
        <v>2475000</v>
      </c>
    </row>
    <row r="10" spans="1:7" x14ac:dyDescent="0.3">
      <c r="A10" t="s">
        <v>5</v>
      </c>
      <c r="B10" t="s">
        <v>11</v>
      </c>
      <c r="C10" t="s">
        <v>20</v>
      </c>
      <c r="D10" t="s">
        <v>28</v>
      </c>
      <c r="E10" s="4">
        <v>4300</v>
      </c>
      <c r="F10" s="2">
        <v>230</v>
      </c>
      <c r="G10" s="2">
        <v>989000</v>
      </c>
    </row>
    <row r="11" spans="1:7" x14ac:dyDescent="0.3">
      <c r="A11" t="s">
        <v>5</v>
      </c>
      <c r="B11" t="s">
        <v>11</v>
      </c>
      <c r="C11" t="s">
        <v>18</v>
      </c>
      <c r="D11" t="s">
        <v>29</v>
      </c>
      <c r="E11" s="4">
        <v>2400</v>
      </c>
      <c r="F11" s="2">
        <v>230</v>
      </c>
      <c r="G11" s="2">
        <v>552000</v>
      </c>
    </row>
    <row r="12" spans="1:7" x14ac:dyDescent="0.3">
      <c r="A12" t="s">
        <v>5</v>
      </c>
      <c r="B12" t="s">
        <v>12</v>
      </c>
      <c r="C12" t="s">
        <v>17</v>
      </c>
      <c r="D12" t="s">
        <v>30</v>
      </c>
      <c r="E12" s="4">
        <v>8000</v>
      </c>
      <c r="F12" s="2">
        <v>184</v>
      </c>
      <c r="G12" s="2">
        <v>1472000</v>
      </c>
    </row>
    <row r="13" spans="1:7" x14ac:dyDescent="0.3">
      <c r="A13" t="s">
        <v>5</v>
      </c>
      <c r="B13" t="s">
        <v>12</v>
      </c>
      <c r="C13" t="s">
        <v>18</v>
      </c>
      <c r="D13" t="s">
        <v>31</v>
      </c>
      <c r="E13" s="4">
        <v>10000</v>
      </c>
      <c r="F13" s="2">
        <v>195</v>
      </c>
      <c r="G13" s="2">
        <v>195000</v>
      </c>
    </row>
    <row r="14" spans="1:7" x14ac:dyDescent="0.3">
      <c r="A14" t="s">
        <v>5</v>
      </c>
      <c r="B14" t="s">
        <v>13</v>
      </c>
      <c r="C14" t="s">
        <v>17</v>
      </c>
      <c r="D14" t="s">
        <v>32</v>
      </c>
      <c r="E14" s="4">
        <v>14000</v>
      </c>
      <c r="F14" s="2">
        <v>205</v>
      </c>
      <c r="G14" s="2">
        <v>2870000</v>
      </c>
    </row>
    <row r="15" spans="1:7" x14ac:dyDescent="0.3">
      <c r="A15" t="s">
        <v>5</v>
      </c>
      <c r="B15" t="s">
        <v>13</v>
      </c>
      <c r="C15" t="s">
        <v>18</v>
      </c>
      <c r="D15" t="s">
        <v>33</v>
      </c>
      <c r="E15" s="4">
        <v>14000</v>
      </c>
      <c r="F15" s="2">
        <v>195</v>
      </c>
      <c r="G15" s="2">
        <v>2730000</v>
      </c>
    </row>
    <row r="16" spans="1:7" x14ac:dyDescent="0.3">
      <c r="A16" t="s">
        <v>5</v>
      </c>
      <c r="B16" t="s">
        <v>14</v>
      </c>
      <c r="C16" t="s">
        <v>17</v>
      </c>
      <c r="D16" t="s">
        <v>34</v>
      </c>
      <c r="E16" s="4">
        <v>1500</v>
      </c>
      <c r="F16" s="2">
        <v>200</v>
      </c>
      <c r="G16" s="2">
        <v>300000</v>
      </c>
    </row>
    <row r="17" spans="1:7" x14ac:dyDescent="0.3">
      <c r="A17" t="s">
        <v>5</v>
      </c>
      <c r="B17" t="s">
        <v>14</v>
      </c>
      <c r="C17" t="s">
        <v>18</v>
      </c>
      <c r="D17" t="s">
        <v>34</v>
      </c>
      <c r="E17" s="4">
        <v>4000</v>
      </c>
      <c r="F17" s="2">
        <v>185</v>
      </c>
      <c r="G17" s="2">
        <v>740000</v>
      </c>
    </row>
    <row r="18" spans="1:7" x14ac:dyDescent="0.3">
      <c r="A18" t="s">
        <v>5</v>
      </c>
      <c r="B18" t="s">
        <v>15</v>
      </c>
      <c r="C18" t="s">
        <v>17</v>
      </c>
      <c r="D18" t="s">
        <v>35</v>
      </c>
      <c r="E18" s="4">
        <v>6000</v>
      </c>
      <c r="F18" s="2">
        <v>330</v>
      </c>
      <c r="G18" s="2">
        <v>1980000</v>
      </c>
    </row>
    <row r="19" spans="1:7" x14ac:dyDescent="0.3">
      <c r="A19" t="s">
        <v>5</v>
      </c>
      <c r="B19" t="s">
        <v>16</v>
      </c>
      <c r="C19" t="s">
        <v>17</v>
      </c>
      <c r="D19" t="s">
        <v>36</v>
      </c>
      <c r="E19" s="4">
        <v>1000</v>
      </c>
      <c r="F19" s="2">
        <v>340</v>
      </c>
      <c r="G19" s="2">
        <v>340000</v>
      </c>
    </row>
    <row r="20" spans="1:7" x14ac:dyDescent="0.3">
      <c r="A20" t="s">
        <v>5</v>
      </c>
      <c r="B20" t="s">
        <v>16</v>
      </c>
      <c r="C20" t="s">
        <v>18</v>
      </c>
      <c r="D20" t="s">
        <v>37</v>
      </c>
      <c r="E20" s="4">
        <v>1000</v>
      </c>
      <c r="F20" s="2">
        <v>320</v>
      </c>
      <c r="G20" s="2">
        <v>320000</v>
      </c>
    </row>
    <row r="21" spans="1:7" x14ac:dyDescent="0.3">
      <c r="A21" t="s">
        <v>38</v>
      </c>
      <c r="B21" t="s">
        <v>39</v>
      </c>
      <c r="C21" t="s">
        <v>17</v>
      </c>
      <c r="D21" t="s">
        <v>28</v>
      </c>
      <c r="E21" s="4">
        <v>500</v>
      </c>
      <c r="F21" s="2">
        <v>80</v>
      </c>
      <c r="G21" s="2">
        <v>40000</v>
      </c>
    </row>
    <row r="22" spans="1:7" x14ac:dyDescent="0.3">
      <c r="A22" t="s">
        <v>38</v>
      </c>
      <c r="B22" t="s">
        <v>39</v>
      </c>
      <c r="C22" t="s">
        <v>17</v>
      </c>
      <c r="D22" t="s">
        <v>24</v>
      </c>
      <c r="E22" s="4">
        <v>700</v>
      </c>
      <c r="F22" s="2">
        <v>70</v>
      </c>
      <c r="G22" s="2">
        <v>49000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7D79-F200-4F29-969D-771C5A01B97D}">
  <sheetPr>
    <tabColor theme="9" tint="-0.249977111117893"/>
  </sheetPr>
  <dimension ref="A1:F17"/>
  <sheetViews>
    <sheetView showGridLines="0" zoomScale="90" zoomScaleNormal="90" workbookViewId="0">
      <selection activeCell="G10" sqref="G10"/>
    </sheetView>
  </sheetViews>
  <sheetFormatPr defaultRowHeight="15.75" x14ac:dyDescent="0.3"/>
  <cols>
    <col min="2" max="2" width="16.21875" customWidth="1"/>
    <col min="3" max="3" width="16.77734375" customWidth="1"/>
    <col min="4" max="4" width="13.77734375" customWidth="1"/>
    <col min="5" max="5" width="11.33203125" customWidth="1"/>
    <col min="6" max="6" width="19.88671875" customWidth="1"/>
    <col min="7" max="7" width="17.88671875" customWidth="1"/>
  </cols>
  <sheetData>
    <row r="1" spans="1:6" ht="21" x14ac:dyDescent="0.35">
      <c r="A1" s="66" t="s">
        <v>49</v>
      </c>
      <c r="B1" s="66"/>
      <c r="C1" s="66"/>
      <c r="D1" s="66"/>
      <c r="E1" s="66"/>
      <c r="F1" s="66"/>
    </row>
    <row r="2" spans="1:6" ht="21" x14ac:dyDescent="0.35">
      <c r="A2" s="5"/>
      <c r="B2" s="5"/>
      <c r="C2" s="5"/>
      <c r="D2" s="5"/>
      <c r="E2" s="5"/>
      <c r="F2" s="5"/>
    </row>
    <row r="3" spans="1:6" x14ac:dyDescent="0.3">
      <c r="A3" t="s">
        <v>56</v>
      </c>
      <c r="B3" t="s">
        <v>57</v>
      </c>
    </row>
    <row r="5" spans="1:6" ht="31.5" x14ac:dyDescent="0.3">
      <c r="A5" s="7" t="s">
        <v>51</v>
      </c>
      <c r="B5" s="7" t="s">
        <v>52</v>
      </c>
      <c r="C5" s="7" t="s">
        <v>55</v>
      </c>
      <c r="D5" s="7" t="s">
        <v>53</v>
      </c>
      <c r="E5" s="7" t="s">
        <v>58</v>
      </c>
      <c r="F5" s="7" t="s">
        <v>54</v>
      </c>
    </row>
    <row r="6" spans="1:6" x14ac:dyDescent="0.3">
      <c r="A6">
        <v>1</v>
      </c>
      <c r="B6">
        <v>100</v>
      </c>
      <c r="C6">
        <v>100</v>
      </c>
      <c r="D6" s="6">
        <v>0.1</v>
      </c>
      <c r="E6" s="2">
        <f>(C6*D6+C6)</f>
        <v>110</v>
      </c>
      <c r="F6" s="2">
        <f>(B6*E6)</f>
        <v>11000</v>
      </c>
    </row>
    <row r="7" spans="1:6" x14ac:dyDescent="0.3">
      <c r="A7">
        <v>2</v>
      </c>
      <c r="B7">
        <v>500</v>
      </c>
      <c r="C7">
        <v>100</v>
      </c>
      <c r="D7" s="6">
        <v>0.15</v>
      </c>
      <c r="E7" s="2">
        <f t="shared" ref="E7:E17" si="0">(C7*D7+C7)</f>
        <v>115</v>
      </c>
      <c r="F7" s="2">
        <f t="shared" ref="F7:F17" si="1">(B7*E7)</f>
        <v>57500</v>
      </c>
    </row>
    <row r="8" spans="1:6" x14ac:dyDescent="0.3">
      <c r="A8">
        <v>3</v>
      </c>
      <c r="B8">
        <v>200</v>
      </c>
      <c r="C8">
        <v>110</v>
      </c>
      <c r="D8" s="6">
        <v>0.12</v>
      </c>
      <c r="E8" s="2">
        <f t="shared" si="0"/>
        <v>123.2</v>
      </c>
      <c r="F8" s="2">
        <f t="shared" si="1"/>
        <v>24640</v>
      </c>
    </row>
    <row r="9" spans="1:6" x14ac:dyDescent="0.3">
      <c r="A9">
        <v>4</v>
      </c>
      <c r="B9">
        <v>400</v>
      </c>
      <c r="C9">
        <v>130</v>
      </c>
      <c r="D9" s="6">
        <v>0.2</v>
      </c>
      <c r="E9" s="2">
        <f t="shared" si="0"/>
        <v>156</v>
      </c>
      <c r="F9" s="2">
        <f t="shared" si="1"/>
        <v>62400</v>
      </c>
    </row>
    <row r="10" spans="1:6" x14ac:dyDescent="0.3">
      <c r="A10">
        <v>5</v>
      </c>
      <c r="B10">
        <v>350</v>
      </c>
      <c r="C10">
        <v>125</v>
      </c>
      <c r="D10" s="6">
        <v>0.25</v>
      </c>
      <c r="E10" s="2">
        <f t="shared" si="0"/>
        <v>156.25</v>
      </c>
      <c r="F10" s="2">
        <f t="shared" si="1"/>
        <v>54687.5</v>
      </c>
    </row>
    <row r="11" spans="1:6" x14ac:dyDescent="0.3">
      <c r="A11">
        <v>6</v>
      </c>
      <c r="B11">
        <v>1000</v>
      </c>
      <c r="C11">
        <v>100</v>
      </c>
      <c r="D11" s="6">
        <v>0.5</v>
      </c>
      <c r="E11" s="2">
        <f t="shared" si="0"/>
        <v>150</v>
      </c>
      <c r="F11" s="2">
        <f t="shared" si="1"/>
        <v>150000</v>
      </c>
    </row>
    <row r="12" spans="1:6" x14ac:dyDescent="0.3">
      <c r="A12">
        <v>7</v>
      </c>
      <c r="B12">
        <v>2000</v>
      </c>
      <c r="C12">
        <v>100</v>
      </c>
      <c r="D12" s="6">
        <v>1</v>
      </c>
      <c r="E12" s="2">
        <f t="shared" si="0"/>
        <v>200</v>
      </c>
      <c r="F12" s="2">
        <f t="shared" si="1"/>
        <v>400000</v>
      </c>
    </row>
    <row r="13" spans="1:6" x14ac:dyDescent="0.3">
      <c r="A13">
        <v>8</v>
      </c>
      <c r="B13">
        <v>2300</v>
      </c>
      <c r="C13">
        <v>160</v>
      </c>
      <c r="D13" s="6">
        <v>0.4</v>
      </c>
      <c r="E13" s="2">
        <f t="shared" si="0"/>
        <v>224</v>
      </c>
      <c r="F13" s="2">
        <f t="shared" si="1"/>
        <v>515200</v>
      </c>
    </row>
    <row r="14" spans="1:6" x14ac:dyDescent="0.3">
      <c r="A14">
        <v>9</v>
      </c>
      <c r="B14">
        <v>4000</v>
      </c>
      <c r="C14">
        <v>160</v>
      </c>
      <c r="D14" s="6">
        <v>0.45</v>
      </c>
      <c r="E14" s="2">
        <f t="shared" si="0"/>
        <v>232</v>
      </c>
      <c r="F14" s="2">
        <f t="shared" si="1"/>
        <v>928000</v>
      </c>
    </row>
    <row r="15" spans="1:6" x14ac:dyDescent="0.3">
      <c r="A15">
        <v>10</v>
      </c>
      <c r="B15">
        <v>5100</v>
      </c>
      <c r="C15">
        <v>140</v>
      </c>
      <c r="D15" s="6">
        <v>0.3</v>
      </c>
      <c r="E15" s="2">
        <f t="shared" si="0"/>
        <v>182</v>
      </c>
      <c r="F15" s="2">
        <f t="shared" si="1"/>
        <v>928200</v>
      </c>
    </row>
    <row r="16" spans="1:6" x14ac:dyDescent="0.3">
      <c r="A16">
        <v>11</v>
      </c>
      <c r="B16">
        <v>6200</v>
      </c>
      <c r="C16">
        <v>130</v>
      </c>
      <c r="D16" s="6">
        <v>0.05</v>
      </c>
      <c r="E16" s="2">
        <f t="shared" si="0"/>
        <v>136.5</v>
      </c>
      <c r="F16" s="2">
        <f t="shared" si="1"/>
        <v>846300</v>
      </c>
    </row>
    <row r="17" spans="1:6" x14ac:dyDescent="0.3">
      <c r="A17">
        <v>12</v>
      </c>
      <c r="B17">
        <v>7000</v>
      </c>
      <c r="C17">
        <v>145</v>
      </c>
      <c r="D17" s="6">
        <v>0.85</v>
      </c>
      <c r="E17" s="2">
        <f t="shared" si="0"/>
        <v>268.25</v>
      </c>
      <c r="F17" s="2">
        <f t="shared" si="1"/>
        <v>1877750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82A1-E7CE-4417-8F62-C628E617115E}">
  <sheetPr>
    <tabColor theme="1" tint="4.9989318521683403E-2"/>
  </sheetPr>
  <dimension ref="A1:H12"/>
  <sheetViews>
    <sheetView showGridLines="0" zoomScale="80" zoomScaleNormal="80" workbookViewId="0"/>
  </sheetViews>
  <sheetFormatPr defaultRowHeight="15.75" x14ac:dyDescent="0.3"/>
  <cols>
    <col min="1" max="1" width="25.21875" customWidth="1"/>
    <col min="2" max="2" width="28.109375" customWidth="1"/>
    <col min="3" max="3" width="18.44140625" customWidth="1"/>
    <col min="4" max="4" width="17.88671875" customWidth="1"/>
    <col min="5" max="5" width="14.77734375" customWidth="1"/>
    <col min="6" max="6" width="16.88671875" customWidth="1"/>
    <col min="7" max="7" width="17.6640625" customWidth="1"/>
    <col min="8" max="8" width="14.44140625" customWidth="1"/>
  </cols>
  <sheetData>
    <row r="1" spans="1:8" s="9" customFormat="1" ht="36.75" customHeight="1" x14ac:dyDescent="0.35">
      <c r="A1" s="10" t="s">
        <v>71</v>
      </c>
      <c r="B1" s="8"/>
    </row>
    <row r="4" spans="1:8" s="11" customFormat="1" ht="36" customHeight="1" x14ac:dyDescent="0.3">
      <c r="A4" s="12"/>
      <c r="B4" s="13" t="s">
        <v>59</v>
      </c>
      <c r="C4" s="13" t="s">
        <v>60</v>
      </c>
      <c r="D4" s="13" t="s">
        <v>61</v>
      </c>
      <c r="E4" s="13" t="s">
        <v>62</v>
      </c>
      <c r="F4" s="13" t="s">
        <v>63</v>
      </c>
      <c r="G4" s="13" t="s">
        <v>64</v>
      </c>
      <c r="H4" s="13" t="s">
        <v>65</v>
      </c>
    </row>
    <row r="5" spans="1:8" x14ac:dyDescent="0.3">
      <c r="B5" t="s">
        <v>72</v>
      </c>
      <c r="C5" t="s">
        <v>17</v>
      </c>
      <c r="D5" t="s">
        <v>28</v>
      </c>
      <c r="E5" t="s">
        <v>11</v>
      </c>
      <c r="F5">
        <v>20</v>
      </c>
      <c r="G5" s="2">
        <v>230</v>
      </c>
    </row>
    <row r="6" spans="1:8" x14ac:dyDescent="0.3">
      <c r="B6" t="s">
        <v>72</v>
      </c>
      <c r="C6" t="s">
        <v>18</v>
      </c>
      <c r="D6" t="s">
        <v>29</v>
      </c>
      <c r="E6" t="s">
        <v>11</v>
      </c>
      <c r="F6">
        <v>50</v>
      </c>
      <c r="G6" s="2">
        <v>230</v>
      </c>
    </row>
    <row r="7" spans="1:8" x14ac:dyDescent="0.3">
      <c r="B7" t="s">
        <v>72</v>
      </c>
      <c r="C7" t="s">
        <v>17</v>
      </c>
      <c r="D7" t="s">
        <v>21</v>
      </c>
      <c r="E7" t="s">
        <v>74</v>
      </c>
      <c r="F7">
        <v>100</v>
      </c>
      <c r="G7" s="2">
        <v>130</v>
      </c>
    </row>
    <row r="8" spans="1:8" x14ac:dyDescent="0.3">
      <c r="B8" t="s">
        <v>72</v>
      </c>
      <c r="C8" t="s">
        <v>18</v>
      </c>
      <c r="D8" t="s">
        <v>22</v>
      </c>
      <c r="E8" t="s">
        <v>75</v>
      </c>
      <c r="F8">
        <v>150</v>
      </c>
      <c r="G8" s="2">
        <v>90</v>
      </c>
    </row>
    <row r="9" spans="1:8" x14ac:dyDescent="0.3">
      <c r="B9" t="s">
        <v>72</v>
      </c>
      <c r="C9" t="s">
        <v>17</v>
      </c>
      <c r="D9" t="s">
        <v>30</v>
      </c>
      <c r="E9" t="s">
        <v>12</v>
      </c>
      <c r="F9">
        <v>250</v>
      </c>
      <c r="G9" s="2">
        <v>184</v>
      </c>
    </row>
    <row r="10" spans="1:8" x14ac:dyDescent="0.3">
      <c r="B10" t="s">
        <v>72</v>
      </c>
      <c r="C10" t="s">
        <v>18</v>
      </c>
      <c r="D10" t="s">
        <v>73</v>
      </c>
      <c r="E10" t="s">
        <v>12</v>
      </c>
      <c r="F10">
        <v>250</v>
      </c>
      <c r="G10" s="2">
        <v>195</v>
      </c>
    </row>
    <row r="11" spans="1:8" x14ac:dyDescent="0.3">
      <c r="B11" t="s">
        <v>38</v>
      </c>
      <c r="C11" t="s">
        <v>17</v>
      </c>
      <c r="D11" t="s">
        <v>28</v>
      </c>
      <c r="E11" t="s">
        <v>39</v>
      </c>
      <c r="F11">
        <v>100</v>
      </c>
      <c r="G11" s="2">
        <v>80</v>
      </c>
    </row>
    <row r="12" spans="1:8" x14ac:dyDescent="0.3">
      <c r="B12" t="s">
        <v>115</v>
      </c>
      <c r="C12" t="s">
        <v>18</v>
      </c>
      <c r="D12" t="s">
        <v>24</v>
      </c>
      <c r="E12" t="s">
        <v>39</v>
      </c>
      <c r="F12">
        <v>30</v>
      </c>
      <c r="G12" s="2">
        <v>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8ACC-6889-4567-AD2B-24B9D183ECCD}">
  <sheetPr>
    <tabColor rgb="FF7030A0"/>
  </sheetPr>
  <dimension ref="A1:F9"/>
  <sheetViews>
    <sheetView showGridLines="0" zoomScale="80" zoomScaleNormal="80" workbookViewId="0">
      <selection activeCell="B5" sqref="B5:B9"/>
    </sheetView>
  </sheetViews>
  <sheetFormatPr defaultRowHeight="15.75" x14ac:dyDescent="0.3"/>
  <cols>
    <col min="2" max="2" width="25.88671875" customWidth="1"/>
    <col min="3" max="3" width="17.77734375" customWidth="1"/>
    <col min="4" max="4" width="31.88671875" customWidth="1"/>
    <col min="5" max="5" width="34.77734375" customWidth="1"/>
  </cols>
  <sheetData>
    <row r="1" spans="1:6" s="14" customFormat="1" ht="30.75" customHeight="1" x14ac:dyDescent="0.3">
      <c r="A1" s="15" t="s">
        <v>76</v>
      </c>
    </row>
    <row r="4" spans="1:6" ht="28.5" customHeight="1" x14ac:dyDescent="0.3">
      <c r="B4" s="16" t="s">
        <v>66</v>
      </c>
      <c r="C4" s="16" t="s">
        <v>67</v>
      </c>
      <c r="D4" s="16" t="s">
        <v>68</v>
      </c>
      <c r="E4" s="16" t="s">
        <v>69</v>
      </c>
      <c r="F4" s="16"/>
    </row>
    <row r="5" spans="1:6" x14ac:dyDescent="0.3">
      <c r="B5" t="s">
        <v>77</v>
      </c>
      <c r="C5" t="s">
        <v>83</v>
      </c>
      <c r="D5" s="17" t="s">
        <v>87</v>
      </c>
      <c r="E5" t="s">
        <v>92</v>
      </c>
    </row>
    <row r="6" spans="1:6" x14ac:dyDescent="0.3">
      <c r="B6" t="s">
        <v>78</v>
      </c>
      <c r="C6" t="s">
        <v>82</v>
      </c>
      <c r="D6" s="17" t="s">
        <v>88</v>
      </c>
      <c r="E6" t="s">
        <v>93</v>
      </c>
    </row>
    <row r="7" spans="1:6" x14ac:dyDescent="0.3">
      <c r="B7" t="s">
        <v>79</v>
      </c>
      <c r="C7" t="s">
        <v>84</v>
      </c>
      <c r="D7" s="17" t="s">
        <v>89</v>
      </c>
      <c r="E7" t="s">
        <v>94</v>
      </c>
    </row>
    <row r="8" spans="1:6" x14ac:dyDescent="0.3">
      <c r="B8" t="s">
        <v>80</v>
      </c>
      <c r="C8" t="s">
        <v>85</v>
      </c>
      <c r="D8" s="17" t="s">
        <v>90</v>
      </c>
      <c r="E8" t="s">
        <v>95</v>
      </c>
    </row>
    <row r="9" spans="1:6" x14ac:dyDescent="0.3">
      <c r="B9" t="s">
        <v>81</v>
      </c>
      <c r="C9" t="s">
        <v>86</v>
      </c>
      <c r="D9" s="17" t="s">
        <v>91</v>
      </c>
      <c r="E9" t="s">
        <v>96</v>
      </c>
    </row>
  </sheetData>
  <hyperlinks>
    <hyperlink ref="D5" r:id="rId1" xr:uid="{D8A1AEDF-2278-4739-A379-3EA56EDD047B}"/>
    <hyperlink ref="D6" r:id="rId2" xr:uid="{AD3BF73F-061D-49DC-A584-706AD2C9BCBB}"/>
    <hyperlink ref="D7" r:id="rId3" xr:uid="{010C4ECD-DC3E-4F48-BF4A-A5236469D46A}"/>
    <hyperlink ref="D8" r:id="rId4" xr:uid="{767378EA-AFB8-4C0C-BAA8-B9F8758C9DE0}"/>
    <hyperlink ref="D9" r:id="rId5" xr:uid="{5CB63735-B089-4952-A996-AD3DB8A2B61C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9A82-1083-477A-BBCB-BA991A671CD7}">
  <sheetPr>
    <tabColor rgb="FF00B0F0"/>
  </sheetPr>
  <dimension ref="A1:E8"/>
  <sheetViews>
    <sheetView showGridLines="0" zoomScale="80" zoomScaleNormal="80" workbookViewId="0">
      <selection activeCell="D12" sqref="D12"/>
    </sheetView>
  </sheetViews>
  <sheetFormatPr defaultRowHeight="15.75" x14ac:dyDescent="0.3"/>
  <cols>
    <col min="2" max="2" width="33.44140625" customWidth="1"/>
    <col min="3" max="3" width="18.109375" customWidth="1"/>
    <col min="4" max="4" width="34.44140625" customWidth="1"/>
    <col min="5" max="5" width="45.109375" customWidth="1"/>
  </cols>
  <sheetData>
    <row r="1" spans="1:5" s="19" customFormat="1" ht="30" customHeight="1" x14ac:dyDescent="0.3">
      <c r="A1" s="19" t="s">
        <v>97</v>
      </c>
    </row>
    <row r="3" spans="1:5" ht="32.25" customHeight="1" x14ac:dyDescent="0.3"/>
    <row r="4" spans="1:5" ht="19.5" x14ac:dyDescent="0.3">
      <c r="B4" s="18" t="s">
        <v>70</v>
      </c>
      <c r="C4" s="18" t="s">
        <v>67</v>
      </c>
      <c r="D4" s="18" t="s">
        <v>106</v>
      </c>
      <c r="E4" s="18" t="s">
        <v>69</v>
      </c>
    </row>
    <row r="5" spans="1:5" x14ac:dyDescent="0.3">
      <c r="B5" t="s">
        <v>98</v>
      </c>
      <c r="C5" t="s">
        <v>102</v>
      </c>
      <c r="D5" s="17" t="s">
        <v>107</v>
      </c>
      <c r="E5" t="s">
        <v>111</v>
      </c>
    </row>
    <row r="6" spans="1:5" x14ac:dyDescent="0.3">
      <c r="B6" t="s">
        <v>99</v>
      </c>
      <c r="C6" t="s">
        <v>103</v>
      </c>
      <c r="D6" s="17" t="s">
        <v>108</v>
      </c>
      <c r="E6" t="s">
        <v>112</v>
      </c>
    </row>
    <row r="7" spans="1:5" x14ac:dyDescent="0.3">
      <c r="B7" t="s">
        <v>100</v>
      </c>
      <c r="C7" t="s">
        <v>104</v>
      </c>
      <c r="D7" s="17" t="s">
        <v>109</v>
      </c>
      <c r="E7" t="s">
        <v>113</v>
      </c>
    </row>
    <row r="8" spans="1:5" x14ac:dyDescent="0.3">
      <c r="B8" t="s">
        <v>101</v>
      </c>
      <c r="C8" t="s">
        <v>105</v>
      </c>
      <c r="D8" s="17" t="s">
        <v>110</v>
      </c>
      <c r="E8" t="s">
        <v>114</v>
      </c>
    </row>
  </sheetData>
  <hyperlinks>
    <hyperlink ref="D5" r:id="rId1" xr:uid="{8BD53957-CAA5-48ED-A260-10003A44768C}"/>
    <hyperlink ref="D6:D8" r:id="rId2" display="contato@peperfeirto.com.br" xr:uid="{09458A02-8781-49E0-823E-80E11236E3A1}"/>
    <hyperlink ref="D6" r:id="rId3" xr:uid="{FDCC125B-9AE1-4A30-B5B7-A48B3D94757D}"/>
    <hyperlink ref="D7" r:id="rId4" xr:uid="{850E479D-ACF8-4B3F-83EC-46730C9E661A}"/>
    <hyperlink ref="D8" r:id="rId5" xr:uid="{D3BB0E76-33D1-4988-83E1-D2ECA570A32F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9E32-1A88-4CCA-8C0E-2EADF9D271CF}">
  <sheetPr>
    <tabColor rgb="FF0070C0"/>
  </sheetPr>
  <dimension ref="A1:G22"/>
  <sheetViews>
    <sheetView showGridLines="0" zoomScale="70" zoomScaleNormal="70" workbookViewId="0">
      <pane ySplit="2" topLeftCell="A3" activePane="bottomLeft" state="frozen"/>
      <selection pane="bottomLeft" activeCell="E12" sqref="E12"/>
    </sheetView>
  </sheetViews>
  <sheetFormatPr defaultRowHeight="15.75" x14ac:dyDescent="0.3"/>
  <cols>
    <col min="1" max="1" width="10.21875" customWidth="1"/>
    <col min="2" max="2" width="24.33203125" customWidth="1"/>
    <col min="3" max="3" width="12.44140625" customWidth="1"/>
    <col min="4" max="4" width="16.33203125" customWidth="1"/>
    <col min="5" max="5" width="16.109375" customWidth="1"/>
    <col min="6" max="6" width="13.109375" customWidth="1"/>
    <col min="7" max="7" width="16.77734375" customWidth="1"/>
  </cols>
  <sheetData>
    <row r="1" spans="1:7" ht="100.5" customHeight="1" x14ac:dyDescent="0.3"/>
    <row r="2" spans="1:7" s="21" customFormat="1" x14ac:dyDescent="0.3">
      <c r="A2" s="20" t="s">
        <v>0</v>
      </c>
      <c r="B2" s="20" t="s">
        <v>1</v>
      </c>
      <c r="C2" s="20" t="s">
        <v>2</v>
      </c>
      <c r="D2" s="20" t="s">
        <v>45</v>
      </c>
      <c r="E2" s="20" t="s">
        <v>44</v>
      </c>
      <c r="F2" s="20" t="s">
        <v>47</v>
      </c>
      <c r="G2" s="20" t="s">
        <v>48</v>
      </c>
    </row>
    <row r="3" spans="1:7" x14ac:dyDescent="0.3">
      <c r="A3" t="s">
        <v>5</v>
      </c>
      <c r="B3" t="s">
        <v>6</v>
      </c>
      <c r="C3" t="s">
        <v>17</v>
      </c>
      <c r="D3" t="s">
        <v>21</v>
      </c>
      <c r="E3">
        <v>5000</v>
      </c>
      <c r="F3" s="2">
        <v>130</v>
      </c>
      <c r="G3" s="2">
        <v>650000</v>
      </c>
    </row>
    <row r="4" spans="1:7" x14ac:dyDescent="0.3">
      <c r="A4" t="s">
        <v>5</v>
      </c>
      <c r="B4" t="s">
        <v>7</v>
      </c>
      <c r="C4" t="s">
        <v>18</v>
      </c>
      <c r="D4" t="s">
        <v>22</v>
      </c>
      <c r="E4">
        <v>3200</v>
      </c>
      <c r="F4" s="2">
        <v>90</v>
      </c>
      <c r="G4" s="2">
        <v>288000</v>
      </c>
    </row>
    <row r="5" spans="1:7" x14ac:dyDescent="0.3">
      <c r="A5" t="s">
        <v>5</v>
      </c>
      <c r="B5" t="s">
        <v>8</v>
      </c>
      <c r="C5" t="s">
        <v>17</v>
      </c>
      <c r="D5" t="s">
        <v>23</v>
      </c>
      <c r="E5" s="4">
        <v>2500</v>
      </c>
      <c r="F5" s="2">
        <v>140</v>
      </c>
      <c r="G5" s="2">
        <v>350000</v>
      </c>
    </row>
    <row r="6" spans="1:7" x14ac:dyDescent="0.3">
      <c r="A6" t="s">
        <v>5</v>
      </c>
      <c r="B6" t="s">
        <v>9</v>
      </c>
      <c r="C6" t="s">
        <v>19</v>
      </c>
      <c r="D6" t="s">
        <v>24</v>
      </c>
      <c r="E6" s="4">
        <v>11000</v>
      </c>
      <c r="F6" s="2">
        <v>100</v>
      </c>
      <c r="G6" s="2">
        <v>1100000</v>
      </c>
    </row>
    <row r="7" spans="1:7" x14ac:dyDescent="0.3">
      <c r="A7" t="s">
        <v>5</v>
      </c>
      <c r="B7" t="s">
        <v>9</v>
      </c>
      <c r="C7" t="s">
        <v>18</v>
      </c>
      <c r="D7" t="s">
        <v>25</v>
      </c>
      <c r="E7" s="4">
        <v>9000</v>
      </c>
      <c r="F7" s="2">
        <v>100</v>
      </c>
      <c r="G7" s="2">
        <v>900000</v>
      </c>
    </row>
    <row r="8" spans="1:7" x14ac:dyDescent="0.3">
      <c r="A8" t="s">
        <v>5</v>
      </c>
      <c r="B8" t="s">
        <v>10</v>
      </c>
      <c r="C8" t="s">
        <v>17</v>
      </c>
      <c r="D8" t="s">
        <v>26</v>
      </c>
      <c r="E8" s="4">
        <v>15000</v>
      </c>
      <c r="F8" s="2">
        <v>165</v>
      </c>
      <c r="G8" s="2">
        <v>2475000</v>
      </c>
    </row>
    <row r="9" spans="1:7" x14ac:dyDescent="0.3">
      <c r="A9" t="s">
        <v>5</v>
      </c>
      <c r="B9" t="s">
        <v>10</v>
      </c>
      <c r="C9" t="s">
        <v>18</v>
      </c>
      <c r="D9" t="s">
        <v>27</v>
      </c>
      <c r="E9" s="4">
        <v>15000</v>
      </c>
      <c r="F9" s="2">
        <v>165</v>
      </c>
      <c r="G9" s="2">
        <v>2475000</v>
      </c>
    </row>
    <row r="10" spans="1:7" x14ac:dyDescent="0.3">
      <c r="A10" t="s">
        <v>5</v>
      </c>
      <c r="B10" t="s">
        <v>11</v>
      </c>
      <c r="C10" t="s">
        <v>20</v>
      </c>
      <c r="D10" t="s">
        <v>28</v>
      </c>
      <c r="E10" s="4">
        <v>4300</v>
      </c>
      <c r="F10" s="2">
        <v>230</v>
      </c>
      <c r="G10" s="2">
        <v>989000</v>
      </c>
    </row>
    <row r="11" spans="1:7" x14ac:dyDescent="0.3">
      <c r="A11" t="s">
        <v>5</v>
      </c>
      <c r="B11" t="s">
        <v>11</v>
      </c>
      <c r="C11" t="s">
        <v>18</v>
      </c>
      <c r="D11" t="s">
        <v>29</v>
      </c>
      <c r="E11" s="4">
        <v>2400</v>
      </c>
      <c r="F11" s="2">
        <v>230</v>
      </c>
      <c r="G11" s="2">
        <v>552000</v>
      </c>
    </row>
    <row r="12" spans="1:7" x14ac:dyDescent="0.3">
      <c r="A12" t="s">
        <v>5</v>
      </c>
      <c r="B12" t="s">
        <v>12</v>
      </c>
      <c r="C12" t="s">
        <v>17</v>
      </c>
      <c r="D12" t="s">
        <v>30</v>
      </c>
      <c r="E12" s="4">
        <v>8000</v>
      </c>
      <c r="F12" s="2">
        <v>184</v>
      </c>
      <c r="G12" s="2">
        <v>1472000</v>
      </c>
    </row>
    <row r="13" spans="1:7" x14ac:dyDescent="0.3">
      <c r="A13" t="s">
        <v>5</v>
      </c>
      <c r="B13" t="s">
        <v>12</v>
      </c>
      <c r="C13" t="s">
        <v>18</v>
      </c>
      <c r="D13" t="s">
        <v>31</v>
      </c>
      <c r="E13" s="4">
        <v>10000</v>
      </c>
      <c r="F13" s="2">
        <v>195</v>
      </c>
      <c r="G13" s="2">
        <v>195000</v>
      </c>
    </row>
    <row r="14" spans="1:7" x14ac:dyDescent="0.3">
      <c r="A14" t="s">
        <v>5</v>
      </c>
      <c r="B14" t="s">
        <v>13</v>
      </c>
      <c r="C14" t="s">
        <v>17</v>
      </c>
      <c r="D14" t="s">
        <v>32</v>
      </c>
      <c r="E14" s="4">
        <v>14000</v>
      </c>
      <c r="F14" s="2">
        <v>205</v>
      </c>
      <c r="G14" s="2">
        <v>2870000</v>
      </c>
    </row>
    <row r="15" spans="1:7" x14ac:dyDescent="0.3">
      <c r="A15" t="s">
        <v>5</v>
      </c>
      <c r="B15" t="s">
        <v>13</v>
      </c>
      <c r="C15" t="s">
        <v>18</v>
      </c>
      <c r="D15" t="s">
        <v>33</v>
      </c>
      <c r="E15" s="4">
        <v>14000</v>
      </c>
      <c r="F15" s="2">
        <v>195</v>
      </c>
      <c r="G15" s="2">
        <v>2730000</v>
      </c>
    </row>
    <row r="16" spans="1:7" x14ac:dyDescent="0.3">
      <c r="A16" t="s">
        <v>5</v>
      </c>
      <c r="B16" t="s">
        <v>14</v>
      </c>
      <c r="C16" t="s">
        <v>17</v>
      </c>
      <c r="D16" t="s">
        <v>34</v>
      </c>
      <c r="E16" s="4">
        <v>1500</v>
      </c>
      <c r="F16" s="2">
        <v>200</v>
      </c>
      <c r="G16" s="2">
        <v>300000</v>
      </c>
    </row>
    <row r="17" spans="1:7" x14ac:dyDescent="0.3">
      <c r="A17" t="s">
        <v>5</v>
      </c>
      <c r="B17" t="s">
        <v>14</v>
      </c>
      <c r="C17" t="s">
        <v>18</v>
      </c>
      <c r="D17" t="s">
        <v>34</v>
      </c>
      <c r="E17" s="4">
        <v>4000</v>
      </c>
      <c r="F17" s="2">
        <v>185</v>
      </c>
      <c r="G17" s="2">
        <v>740000</v>
      </c>
    </row>
    <row r="18" spans="1:7" x14ac:dyDescent="0.3">
      <c r="A18" t="s">
        <v>5</v>
      </c>
      <c r="B18" t="s">
        <v>15</v>
      </c>
      <c r="C18" t="s">
        <v>17</v>
      </c>
      <c r="D18" t="s">
        <v>35</v>
      </c>
      <c r="E18" s="4">
        <v>6000</v>
      </c>
      <c r="F18" s="2">
        <v>330</v>
      </c>
      <c r="G18" s="2">
        <v>1980000</v>
      </c>
    </row>
    <row r="19" spans="1:7" x14ac:dyDescent="0.3">
      <c r="A19" t="s">
        <v>5</v>
      </c>
      <c r="B19" t="s">
        <v>16</v>
      </c>
      <c r="C19" t="s">
        <v>17</v>
      </c>
      <c r="D19" t="s">
        <v>36</v>
      </c>
      <c r="E19" s="4">
        <v>1000</v>
      </c>
      <c r="F19" s="2">
        <v>340</v>
      </c>
      <c r="G19" s="2">
        <v>340000</v>
      </c>
    </row>
    <row r="20" spans="1:7" x14ac:dyDescent="0.3">
      <c r="A20" t="s">
        <v>5</v>
      </c>
      <c r="B20" t="s">
        <v>16</v>
      </c>
      <c r="C20" t="s">
        <v>18</v>
      </c>
      <c r="D20" t="s">
        <v>37</v>
      </c>
      <c r="E20" s="4">
        <v>1000</v>
      </c>
      <c r="F20" s="2">
        <v>320</v>
      </c>
      <c r="G20" s="2">
        <v>320000</v>
      </c>
    </row>
    <row r="21" spans="1:7" x14ac:dyDescent="0.3">
      <c r="A21" t="s">
        <v>38</v>
      </c>
      <c r="B21" t="s">
        <v>39</v>
      </c>
      <c r="C21" t="s">
        <v>17</v>
      </c>
      <c r="D21" t="s">
        <v>28</v>
      </c>
      <c r="E21" s="4">
        <v>500</v>
      </c>
      <c r="F21" s="2">
        <v>80</v>
      </c>
      <c r="G21" s="2">
        <v>40000</v>
      </c>
    </row>
    <row r="22" spans="1:7" x14ac:dyDescent="0.3">
      <c r="A22" t="s">
        <v>38</v>
      </c>
      <c r="B22" t="s">
        <v>39</v>
      </c>
      <c r="C22" t="s">
        <v>17</v>
      </c>
      <c r="D22" t="s">
        <v>24</v>
      </c>
      <c r="E22" s="4">
        <v>700</v>
      </c>
      <c r="F22" s="2">
        <v>70</v>
      </c>
      <c r="G22" s="2">
        <v>49000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4FD-FF11-4D4F-9410-39409DEB3E00}">
  <sheetPr>
    <tabColor theme="5" tint="-0.249977111117893"/>
  </sheetPr>
  <dimension ref="A1"/>
  <sheetViews>
    <sheetView showGridLines="0" zoomScale="70" zoomScaleNormal="70"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B7C4-5066-4BEB-9003-AC2CF908BCEB}">
  <sheetPr>
    <tabColor theme="5" tint="0.39997558519241921"/>
  </sheetPr>
  <dimension ref="A1:H32"/>
  <sheetViews>
    <sheetView showGridLines="0" zoomScale="70" zoomScaleNormal="70" workbookViewId="0">
      <pane ySplit="2" topLeftCell="A18" activePane="bottomLeft" state="frozen"/>
      <selection pane="bottomLeft" activeCell="F23" sqref="F23"/>
    </sheetView>
  </sheetViews>
  <sheetFormatPr defaultRowHeight="15.75" x14ac:dyDescent="0.3"/>
  <cols>
    <col min="1" max="1" width="10.21875" customWidth="1"/>
    <col min="2" max="2" width="24.33203125" customWidth="1"/>
    <col min="3" max="3" width="14.77734375" bestFit="1" customWidth="1"/>
    <col min="4" max="4" width="16.33203125" customWidth="1"/>
    <col min="5" max="5" width="16.109375" customWidth="1"/>
    <col min="6" max="6" width="13.109375" customWidth="1"/>
    <col min="7" max="7" width="10" bestFit="1" customWidth="1"/>
    <col min="8" max="8" width="15.21875" bestFit="1" customWidth="1"/>
  </cols>
  <sheetData>
    <row r="1" spans="1:8" ht="100.5" customHeight="1" x14ac:dyDescent="0.3"/>
    <row r="2" spans="1:8" s="24" customFormat="1" ht="36" x14ac:dyDescent="0.25">
      <c r="A2" s="22" t="s">
        <v>0</v>
      </c>
      <c r="B2" s="22" t="s">
        <v>1</v>
      </c>
      <c r="C2" s="22" t="s">
        <v>2</v>
      </c>
      <c r="D2" s="22" t="s">
        <v>45</v>
      </c>
      <c r="E2" s="22" t="s">
        <v>44</v>
      </c>
      <c r="F2" s="25" t="s">
        <v>116</v>
      </c>
      <c r="G2" s="23" t="s">
        <v>125</v>
      </c>
      <c r="H2" s="23" t="s">
        <v>126</v>
      </c>
    </row>
    <row r="3" spans="1:8" x14ac:dyDescent="0.3">
      <c r="A3" t="s">
        <v>5</v>
      </c>
      <c r="B3" t="s">
        <v>6</v>
      </c>
      <c r="C3" t="s">
        <v>17</v>
      </c>
      <c r="D3" t="s">
        <v>21</v>
      </c>
      <c r="E3">
        <v>5000</v>
      </c>
      <c r="F3" s="2">
        <v>130</v>
      </c>
      <c r="G3" s="2">
        <f>F3*$C$25+F3</f>
        <v>143</v>
      </c>
      <c r="H3" s="2">
        <f>E3*G3</f>
        <v>715000</v>
      </c>
    </row>
    <row r="4" spans="1:8" x14ac:dyDescent="0.3">
      <c r="A4" t="s">
        <v>5</v>
      </c>
      <c r="B4" t="s">
        <v>7</v>
      </c>
      <c r="C4" t="s">
        <v>18</v>
      </c>
      <c r="D4" t="s">
        <v>22</v>
      </c>
      <c r="E4">
        <v>3200</v>
      </c>
      <c r="F4" s="2">
        <v>90</v>
      </c>
      <c r="G4" s="2">
        <f t="shared" ref="G4:G22" si="0">F4*$C$25+F4</f>
        <v>99</v>
      </c>
      <c r="H4" s="2">
        <f t="shared" ref="H4:H22" si="1">E4*G4</f>
        <v>316800</v>
      </c>
    </row>
    <row r="5" spans="1:8" x14ac:dyDescent="0.3">
      <c r="A5" t="s">
        <v>5</v>
      </c>
      <c r="B5" t="s">
        <v>8</v>
      </c>
      <c r="C5" t="s">
        <v>17</v>
      </c>
      <c r="D5" t="s">
        <v>23</v>
      </c>
      <c r="E5" s="4">
        <v>2500</v>
      </c>
      <c r="F5" s="2">
        <v>140</v>
      </c>
      <c r="G5" s="2">
        <f>F5*$C$25+F5</f>
        <v>154</v>
      </c>
      <c r="H5" s="2">
        <f t="shared" si="1"/>
        <v>385000</v>
      </c>
    </row>
    <row r="6" spans="1:8" x14ac:dyDescent="0.3">
      <c r="A6" t="s">
        <v>5</v>
      </c>
      <c r="B6" t="s">
        <v>9</v>
      </c>
      <c r="C6" t="s">
        <v>19</v>
      </c>
      <c r="D6" t="s">
        <v>24</v>
      </c>
      <c r="E6" s="4">
        <v>11000</v>
      </c>
      <c r="F6" s="2">
        <v>100</v>
      </c>
      <c r="G6" s="2">
        <f t="shared" si="0"/>
        <v>110</v>
      </c>
      <c r="H6" s="2">
        <f t="shared" si="1"/>
        <v>1210000</v>
      </c>
    </row>
    <row r="7" spans="1:8" x14ac:dyDescent="0.3">
      <c r="A7" t="s">
        <v>5</v>
      </c>
      <c r="B7" t="s">
        <v>9</v>
      </c>
      <c r="C7" t="s">
        <v>18</v>
      </c>
      <c r="D7" t="s">
        <v>25</v>
      </c>
      <c r="E7" s="4">
        <v>9000</v>
      </c>
      <c r="F7" s="2">
        <v>100</v>
      </c>
      <c r="G7" s="2">
        <f t="shared" si="0"/>
        <v>110</v>
      </c>
      <c r="H7" s="2">
        <f t="shared" si="1"/>
        <v>990000</v>
      </c>
    </row>
    <row r="8" spans="1:8" x14ac:dyDescent="0.3">
      <c r="A8" t="s">
        <v>5</v>
      </c>
      <c r="B8" t="s">
        <v>10</v>
      </c>
      <c r="C8" t="s">
        <v>17</v>
      </c>
      <c r="D8" t="s">
        <v>26</v>
      </c>
      <c r="E8" s="4">
        <v>15000</v>
      </c>
      <c r="F8" s="2">
        <v>165</v>
      </c>
      <c r="G8" s="2">
        <f t="shared" si="0"/>
        <v>181.5</v>
      </c>
      <c r="H8" s="2">
        <f t="shared" si="1"/>
        <v>2722500</v>
      </c>
    </row>
    <row r="9" spans="1:8" x14ac:dyDescent="0.3">
      <c r="A9" t="s">
        <v>5</v>
      </c>
      <c r="B9" t="s">
        <v>10</v>
      </c>
      <c r="C9" t="s">
        <v>18</v>
      </c>
      <c r="D9" t="s">
        <v>27</v>
      </c>
      <c r="E9" s="4">
        <v>15000</v>
      </c>
      <c r="F9" s="2">
        <v>165</v>
      </c>
      <c r="G9" s="2">
        <f t="shared" si="0"/>
        <v>181.5</v>
      </c>
      <c r="H9" s="2">
        <f t="shared" si="1"/>
        <v>2722500</v>
      </c>
    </row>
    <row r="10" spans="1:8" x14ac:dyDescent="0.3">
      <c r="A10" t="s">
        <v>5</v>
      </c>
      <c r="B10" t="s">
        <v>11</v>
      </c>
      <c r="C10" t="s">
        <v>20</v>
      </c>
      <c r="D10" t="s">
        <v>28</v>
      </c>
      <c r="E10" s="4">
        <v>4300</v>
      </c>
      <c r="F10" s="2">
        <v>230</v>
      </c>
      <c r="G10" s="2">
        <f t="shared" si="0"/>
        <v>253</v>
      </c>
      <c r="H10" s="2">
        <f t="shared" si="1"/>
        <v>1087900</v>
      </c>
    </row>
    <row r="11" spans="1:8" x14ac:dyDescent="0.3">
      <c r="A11" t="s">
        <v>5</v>
      </c>
      <c r="B11" t="s">
        <v>11</v>
      </c>
      <c r="C11" t="s">
        <v>18</v>
      </c>
      <c r="D11" t="s">
        <v>29</v>
      </c>
      <c r="E11" s="4">
        <v>2400</v>
      </c>
      <c r="F11" s="2">
        <v>230</v>
      </c>
      <c r="G11" s="2">
        <f t="shared" si="0"/>
        <v>253</v>
      </c>
      <c r="H11" s="2">
        <f t="shared" si="1"/>
        <v>607200</v>
      </c>
    </row>
    <row r="12" spans="1:8" x14ac:dyDescent="0.3">
      <c r="A12" t="s">
        <v>5</v>
      </c>
      <c r="B12" t="s">
        <v>12</v>
      </c>
      <c r="C12" t="s">
        <v>17</v>
      </c>
      <c r="D12" t="s">
        <v>30</v>
      </c>
      <c r="E12" s="4">
        <v>8000</v>
      </c>
      <c r="F12" s="2">
        <v>184</v>
      </c>
      <c r="G12" s="2">
        <f t="shared" si="0"/>
        <v>202.4</v>
      </c>
      <c r="H12" s="2">
        <f t="shared" si="1"/>
        <v>1619200</v>
      </c>
    </row>
    <row r="13" spans="1:8" x14ac:dyDescent="0.3">
      <c r="A13" t="s">
        <v>5</v>
      </c>
      <c r="B13" t="s">
        <v>12</v>
      </c>
      <c r="C13" t="s">
        <v>18</v>
      </c>
      <c r="D13" t="s">
        <v>31</v>
      </c>
      <c r="E13" s="4">
        <v>10000</v>
      </c>
      <c r="F13" s="2">
        <v>195</v>
      </c>
      <c r="G13" s="2">
        <f t="shared" si="0"/>
        <v>214.5</v>
      </c>
      <c r="H13" s="2">
        <f t="shared" si="1"/>
        <v>2145000</v>
      </c>
    </row>
    <row r="14" spans="1:8" x14ac:dyDescent="0.3">
      <c r="A14" t="s">
        <v>5</v>
      </c>
      <c r="B14" t="s">
        <v>13</v>
      </c>
      <c r="C14" t="s">
        <v>17</v>
      </c>
      <c r="D14" t="s">
        <v>32</v>
      </c>
      <c r="E14" s="4">
        <v>14000</v>
      </c>
      <c r="F14" s="2">
        <v>205</v>
      </c>
      <c r="G14" s="2">
        <f t="shared" si="0"/>
        <v>225.5</v>
      </c>
      <c r="H14" s="2">
        <f t="shared" si="1"/>
        <v>3157000</v>
      </c>
    </row>
    <row r="15" spans="1:8" x14ac:dyDescent="0.3">
      <c r="A15" t="s">
        <v>5</v>
      </c>
      <c r="B15" t="s">
        <v>13</v>
      </c>
      <c r="C15" t="s">
        <v>18</v>
      </c>
      <c r="D15" t="s">
        <v>33</v>
      </c>
      <c r="E15" s="4">
        <v>14000</v>
      </c>
      <c r="F15" s="2">
        <v>195</v>
      </c>
      <c r="G15" s="2">
        <f t="shared" si="0"/>
        <v>214.5</v>
      </c>
      <c r="H15" s="2">
        <f t="shared" si="1"/>
        <v>3003000</v>
      </c>
    </row>
    <row r="16" spans="1:8" x14ac:dyDescent="0.3">
      <c r="A16" t="s">
        <v>5</v>
      </c>
      <c r="B16" t="s">
        <v>14</v>
      </c>
      <c r="C16" t="s">
        <v>17</v>
      </c>
      <c r="D16" t="s">
        <v>34</v>
      </c>
      <c r="E16" s="4">
        <v>1500</v>
      </c>
      <c r="F16" s="2">
        <v>200</v>
      </c>
      <c r="G16" s="2">
        <f t="shared" si="0"/>
        <v>220</v>
      </c>
      <c r="H16" s="2">
        <f t="shared" si="1"/>
        <v>330000</v>
      </c>
    </row>
    <row r="17" spans="1:8" x14ac:dyDescent="0.3">
      <c r="A17" t="s">
        <v>5</v>
      </c>
      <c r="B17" t="s">
        <v>14</v>
      </c>
      <c r="C17" t="s">
        <v>18</v>
      </c>
      <c r="D17" t="s">
        <v>34</v>
      </c>
      <c r="E17" s="4">
        <v>4000</v>
      </c>
      <c r="F17" s="2">
        <v>185</v>
      </c>
      <c r="G17" s="2">
        <f t="shared" si="0"/>
        <v>203.5</v>
      </c>
      <c r="H17" s="2">
        <f t="shared" si="1"/>
        <v>814000</v>
      </c>
    </row>
    <row r="18" spans="1:8" x14ac:dyDescent="0.3">
      <c r="A18" t="s">
        <v>5</v>
      </c>
      <c r="B18" t="s">
        <v>15</v>
      </c>
      <c r="C18" t="s">
        <v>17</v>
      </c>
      <c r="D18" t="s">
        <v>35</v>
      </c>
      <c r="E18" s="4">
        <v>6000</v>
      </c>
      <c r="F18" s="2">
        <v>330</v>
      </c>
      <c r="G18" s="2">
        <f t="shared" si="0"/>
        <v>363</v>
      </c>
      <c r="H18" s="2">
        <f t="shared" si="1"/>
        <v>2178000</v>
      </c>
    </row>
    <row r="19" spans="1:8" x14ac:dyDescent="0.3">
      <c r="A19" t="s">
        <v>5</v>
      </c>
      <c r="B19" t="s">
        <v>16</v>
      </c>
      <c r="C19" t="s">
        <v>17</v>
      </c>
      <c r="D19" t="s">
        <v>36</v>
      </c>
      <c r="E19" s="4">
        <v>1000</v>
      </c>
      <c r="F19" s="2">
        <v>340</v>
      </c>
      <c r="G19" s="2">
        <f t="shared" si="0"/>
        <v>374</v>
      </c>
      <c r="H19" s="2">
        <f t="shared" si="1"/>
        <v>374000</v>
      </c>
    </row>
    <row r="20" spans="1:8" x14ac:dyDescent="0.3">
      <c r="A20" t="s">
        <v>5</v>
      </c>
      <c r="B20" t="s">
        <v>16</v>
      </c>
      <c r="C20" t="s">
        <v>18</v>
      </c>
      <c r="D20" t="s">
        <v>37</v>
      </c>
      <c r="E20" s="4">
        <v>1000</v>
      </c>
      <c r="F20" s="2">
        <v>320</v>
      </c>
      <c r="G20" s="2">
        <f t="shared" si="0"/>
        <v>352</v>
      </c>
      <c r="H20" s="2">
        <f t="shared" si="1"/>
        <v>352000</v>
      </c>
    </row>
    <row r="21" spans="1:8" x14ac:dyDescent="0.3">
      <c r="A21" t="s">
        <v>38</v>
      </c>
      <c r="B21" t="s">
        <v>39</v>
      </c>
      <c r="C21" t="s">
        <v>17</v>
      </c>
      <c r="D21" t="s">
        <v>28</v>
      </c>
      <c r="E21" s="4">
        <v>500</v>
      </c>
      <c r="F21" s="2">
        <v>80</v>
      </c>
      <c r="G21" s="2">
        <f t="shared" si="0"/>
        <v>88</v>
      </c>
      <c r="H21" s="2">
        <f t="shared" si="1"/>
        <v>44000</v>
      </c>
    </row>
    <row r="22" spans="1:8" x14ac:dyDescent="0.3">
      <c r="A22" t="s">
        <v>38</v>
      </c>
      <c r="B22" t="s">
        <v>39</v>
      </c>
      <c r="C22" t="s">
        <v>17</v>
      </c>
      <c r="D22" t="s">
        <v>24</v>
      </c>
      <c r="E22" s="4">
        <v>700</v>
      </c>
      <c r="F22" s="2">
        <v>70</v>
      </c>
      <c r="G22" s="2">
        <f t="shared" si="0"/>
        <v>77</v>
      </c>
      <c r="H22" s="2">
        <f t="shared" si="1"/>
        <v>53900</v>
      </c>
    </row>
    <row r="25" spans="1:8" x14ac:dyDescent="0.3">
      <c r="A25" s="68" t="s">
        <v>117</v>
      </c>
      <c r="B25" s="68"/>
      <c r="C25" s="26">
        <v>0.1</v>
      </c>
    </row>
    <row r="26" spans="1:8" x14ac:dyDescent="0.3">
      <c r="A26" s="67" t="s">
        <v>118</v>
      </c>
      <c r="B26" s="67"/>
      <c r="C26" s="27">
        <f>COUNTA(A3:A22)</f>
        <v>20</v>
      </c>
    </row>
    <row r="27" spans="1:8" x14ac:dyDescent="0.3">
      <c r="A27" s="67" t="s">
        <v>119</v>
      </c>
      <c r="B27" s="67"/>
      <c r="C27" s="27">
        <f>COUNT(E3:E22)</f>
        <v>20</v>
      </c>
    </row>
    <row r="28" spans="1:8" x14ac:dyDescent="0.3">
      <c r="A28" s="67" t="s">
        <v>120</v>
      </c>
      <c r="B28" s="67"/>
      <c r="C28" s="28">
        <f>AVERAGE(H3:H22)</f>
        <v>1241350</v>
      </c>
    </row>
    <row r="29" spans="1:8" x14ac:dyDescent="0.3">
      <c r="A29" s="67" t="s">
        <v>121</v>
      </c>
      <c r="B29" s="67"/>
      <c r="C29" s="28">
        <f>MIN(F3:F22)</f>
        <v>70</v>
      </c>
    </row>
    <row r="30" spans="1:8" x14ac:dyDescent="0.3">
      <c r="A30" s="67" t="s">
        <v>122</v>
      </c>
      <c r="B30" s="67"/>
      <c r="C30" s="28">
        <f>MAX(G3:G22)</f>
        <v>374</v>
      </c>
    </row>
    <row r="31" spans="1:8" x14ac:dyDescent="0.3">
      <c r="A31" s="67" t="s">
        <v>123</v>
      </c>
      <c r="B31" s="67"/>
      <c r="C31" s="27">
        <f>LARGE(G3:G22,2)</f>
        <v>363</v>
      </c>
    </row>
    <row r="32" spans="1:8" x14ac:dyDescent="0.3">
      <c r="A32" s="67" t="s">
        <v>124</v>
      </c>
      <c r="B32" s="67"/>
      <c r="C32" s="27">
        <f>SMALL(F3:F22,3)</f>
        <v>90</v>
      </c>
    </row>
  </sheetData>
  <mergeCells count="8">
    <mergeCell ref="A31:B31"/>
    <mergeCell ref="A32:B32"/>
    <mergeCell ref="A25:B25"/>
    <mergeCell ref="A26:B26"/>
    <mergeCell ref="A27:B27"/>
    <mergeCell ref="A28:B28"/>
    <mergeCell ref="A29:B29"/>
    <mergeCell ref="A30:B3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74A-6455-4328-ADDE-0EA46B7C2FBC}">
  <sheetPr>
    <tabColor theme="4" tint="0.39997558519241921"/>
  </sheetPr>
  <dimension ref="A1:J12"/>
  <sheetViews>
    <sheetView showGridLines="0" topLeftCell="D1" workbookViewId="0">
      <selection activeCell="I14" sqref="I14"/>
    </sheetView>
  </sheetViews>
  <sheetFormatPr defaultRowHeight="15.75" x14ac:dyDescent="0.3"/>
  <cols>
    <col min="2" max="2" width="14.44140625" customWidth="1"/>
    <col min="3" max="3" width="23.77734375" customWidth="1"/>
    <col min="5" max="6" width="13.109375" bestFit="1" customWidth="1"/>
    <col min="7" max="8" width="16.77734375" bestFit="1" customWidth="1"/>
    <col min="9" max="9" width="12.88671875" bestFit="1" customWidth="1"/>
    <col min="10" max="10" width="19.44140625" bestFit="1" customWidth="1"/>
  </cols>
  <sheetData>
    <row r="1" spans="1:10" s="29" customFormat="1" x14ac:dyDescent="0.3">
      <c r="A1" s="30" t="s">
        <v>127</v>
      </c>
      <c r="C1" s="30"/>
    </row>
    <row r="5" spans="1:10" s="35" customFormat="1" ht="33" x14ac:dyDescent="0.3">
      <c r="B5" s="35" t="s">
        <v>142</v>
      </c>
      <c r="C5" s="35" t="s">
        <v>143</v>
      </c>
      <c r="D5" s="35" t="s">
        <v>60</v>
      </c>
      <c r="E5" s="35" t="s">
        <v>61</v>
      </c>
      <c r="F5" s="35" t="s">
        <v>62</v>
      </c>
      <c r="G5" s="35" t="s">
        <v>128</v>
      </c>
      <c r="H5" s="35" t="s">
        <v>52</v>
      </c>
      <c r="I5" s="35" t="s">
        <v>64</v>
      </c>
      <c r="J5" s="35" t="s">
        <v>129</v>
      </c>
    </row>
    <row r="6" spans="1:10" x14ac:dyDescent="0.3">
      <c r="B6" s="31">
        <v>44879</v>
      </c>
      <c r="C6" t="s">
        <v>130</v>
      </c>
      <c r="D6" t="s">
        <v>17</v>
      </c>
      <c r="E6" t="s">
        <v>21</v>
      </c>
      <c r="F6" t="s">
        <v>74</v>
      </c>
      <c r="G6" t="s">
        <v>132</v>
      </c>
      <c r="H6">
        <v>30</v>
      </c>
      <c r="I6" s="32">
        <v>130</v>
      </c>
      <c r="J6" s="32">
        <f>H6*I6</f>
        <v>3900</v>
      </c>
    </row>
    <row r="7" spans="1:10" x14ac:dyDescent="0.3">
      <c r="B7" s="31">
        <v>44879</v>
      </c>
      <c r="C7" t="s">
        <v>130</v>
      </c>
      <c r="D7" t="s">
        <v>18</v>
      </c>
      <c r="E7" t="s">
        <v>27</v>
      </c>
      <c r="F7" t="s">
        <v>10</v>
      </c>
      <c r="G7" t="s">
        <v>78</v>
      </c>
      <c r="H7">
        <v>100</v>
      </c>
      <c r="I7" s="32">
        <v>165</v>
      </c>
      <c r="J7" s="32">
        <f t="shared" ref="J7:J12" si="0">H7*I7</f>
        <v>16500</v>
      </c>
    </row>
    <row r="8" spans="1:10" x14ac:dyDescent="0.3">
      <c r="B8" s="31">
        <v>44879</v>
      </c>
      <c r="C8" t="s">
        <v>130</v>
      </c>
      <c r="D8" t="s">
        <v>17</v>
      </c>
      <c r="E8" t="s">
        <v>30</v>
      </c>
      <c r="F8" t="s">
        <v>12</v>
      </c>
      <c r="G8" t="s">
        <v>78</v>
      </c>
      <c r="H8">
        <v>30</v>
      </c>
      <c r="I8" s="32">
        <v>184</v>
      </c>
      <c r="J8" s="32">
        <f t="shared" si="0"/>
        <v>5520</v>
      </c>
    </row>
    <row r="9" spans="1:10" x14ac:dyDescent="0.3">
      <c r="B9" s="31">
        <v>44879</v>
      </c>
      <c r="C9" t="s">
        <v>130</v>
      </c>
      <c r="D9" t="s">
        <v>17</v>
      </c>
      <c r="E9" t="s">
        <v>36</v>
      </c>
      <c r="F9" t="s">
        <v>16</v>
      </c>
      <c r="G9" t="s">
        <v>132</v>
      </c>
      <c r="H9">
        <v>200</v>
      </c>
      <c r="I9" s="32">
        <v>340</v>
      </c>
      <c r="J9" s="32">
        <f t="shared" si="0"/>
        <v>68000</v>
      </c>
    </row>
    <row r="10" spans="1:10" x14ac:dyDescent="0.3">
      <c r="B10" s="31">
        <v>44880</v>
      </c>
      <c r="C10" t="s">
        <v>130</v>
      </c>
      <c r="D10" t="s">
        <v>18</v>
      </c>
      <c r="E10" t="s">
        <v>29</v>
      </c>
      <c r="F10" t="s">
        <v>11</v>
      </c>
      <c r="G10" t="s">
        <v>133</v>
      </c>
      <c r="H10">
        <v>150</v>
      </c>
      <c r="I10" s="32">
        <v>230</v>
      </c>
      <c r="J10" s="32">
        <f t="shared" si="0"/>
        <v>34500</v>
      </c>
    </row>
    <row r="11" spans="1:10" x14ac:dyDescent="0.3">
      <c r="B11" s="31">
        <v>44880</v>
      </c>
      <c r="C11" t="s">
        <v>38</v>
      </c>
      <c r="D11" t="s">
        <v>17</v>
      </c>
      <c r="E11" t="s">
        <v>28</v>
      </c>
      <c r="F11" t="s">
        <v>131</v>
      </c>
      <c r="G11" t="s">
        <v>132</v>
      </c>
      <c r="H11">
        <v>40</v>
      </c>
      <c r="I11" s="32">
        <v>80</v>
      </c>
      <c r="J11" s="32">
        <f t="shared" si="0"/>
        <v>3200</v>
      </c>
    </row>
    <row r="12" spans="1:10" x14ac:dyDescent="0.3">
      <c r="B12" s="31">
        <v>44880</v>
      </c>
      <c r="C12" t="s">
        <v>130</v>
      </c>
      <c r="D12" t="s">
        <v>18</v>
      </c>
      <c r="E12" t="s">
        <v>34</v>
      </c>
      <c r="F12" t="s">
        <v>14</v>
      </c>
      <c r="G12" t="s">
        <v>133</v>
      </c>
      <c r="H12">
        <v>200</v>
      </c>
      <c r="I12" s="32">
        <v>185</v>
      </c>
      <c r="J12" s="32">
        <f t="shared" si="0"/>
        <v>37000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49C8-3F75-473F-BD2C-D3E9767FF753}">
  <sheetPr>
    <tabColor theme="3" tint="0.499984740745262"/>
  </sheetPr>
  <dimension ref="A1:N8"/>
  <sheetViews>
    <sheetView showGridLines="0" topLeftCell="K1" zoomScale="90" zoomScaleNormal="90" workbookViewId="0">
      <selection activeCell="M10" sqref="M10"/>
    </sheetView>
  </sheetViews>
  <sheetFormatPr defaultRowHeight="15.75" x14ac:dyDescent="0.3"/>
  <cols>
    <col min="2" max="2" width="18" customWidth="1"/>
    <col min="3" max="3" width="11.77734375" customWidth="1"/>
    <col min="4" max="4" width="10.33203125" customWidth="1"/>
    <col min="7" max="7" width="13.44140625" bestFit="1" customWidth="1"/>
    <col min="8" max="8" width="15.88671875" customWidth="1"/>
    <col min="9" max="9" width="17.6640625" customWidth="1"/>
    <col min="10" max="10" width="18" customWidth="1"/>
    <col min="11" max="11" width="16.109375" customWidth="1"/>
    <col min="12" max="12" width="15.44140625" customWidth="1"/>
    <col min="13" max="13" width="17.21875" customWidth="1"/>
    <col min="14" max="14" width="16.88671875" customWidth="1"/>
  </cols>
  <sheetData>
    <row r="1" spans="1:14" s="33" customFormat="1" ht="19.5" x14ac:dyDescent="0.35">
      <c r="A1" s="34" t="s">
        <v>134</v>
      </c>
    </row>
    <row r="5" spans="1:14" s="35" customFormat="1" ht="50.25" customHeight="1" x14ac:dyDescent="0.3">
      <c r="B5" s="35" t="s">
        <v>135</v>
      </c>
      <c r="C5" s="36" t="s">
        <v>143</v>
      </c>
      <c r="D5" s="35" t="s">
        <v>60</v>
      </c>
      <c r="E5" s="36" t="s">
        <v>61</v>
      </c>
      <c r="F5" s="35" t="s">
        <v>62</v>
      </c>
      <c r="G5" s="35" t="s">
        <v>70</v>
      </c>
      <c r="H5" s="35" t="s">
        <v>52</v>
      </c>
      <c r="I5" s="35" t="s">
        <v>136</v>
      </c>
      <c r="J5" s="35" t="s">
        <v>137</v>
      </c>
      <c r="K5" s="35" t="s">
        <v>139</v>
      </c>
      <c r="L5" s="35" t="s">
        <v>140</v>
      </c>
      <c r="M5" s="35" t="s">
        <v>58</v>
      </c>
      <c r="N5" s="35" t="s">
        <v>141</v>
      </c>
    </row>
    <row r="6" spans="1:14" x14ac:dyDescent="0.3">
      <c r="B6" s="31">
        <v>44887</v>
      </c>
      <c r="C6" t="s">
        <v>130</v>
      </c>
      <c r="D6" t="s">
        <v>17</v>
      </c>
      <c r="E6" t="s">
        <v>21</v>
      </c>
      <c r="F6" t="s">
        <v>74</v>
      </c>
      <c r="G6" t="s">
        <v>100</v>
      </c>
      <c r="H6">
        <v>10</v>
      </c>
      <c r="I6">
        <v>0</v>
      </c>
      <c r="K6">
        <v>10</v>
      </c>
      <c r="L6">
        <f>'Aula 8 - Entradas'!H6-'Aula 8 - Saídas'!K6</f>
        <v>20</v>
      </c>
      <c r="M6" s="2">
        <v>143</v>
      </c>
      <c r="N6" s="2">
        <f>K6*M6</f>
        <v>1430</v>
      </c>
    </row>
    <row r="7" spans="1:14" x14ac:dyDescent="0.3">
      <c r="B7" s="31">
        <v>44887</v>
      </c>
      <c r="C7" t="s">
        <v>130</v>
      </c>
      <c r="D7" t="s">
        <v>18</v>
      </c>
      <c r="E7" t="s">
        <v>29</v>
      </c>
      <c r="F7" t="s">
        <v>11</v>
      </c>
      <c r="G7" t="s">
        <v>138</v>
      </c>
      <c r="H7">
        <v>5</v>
      </c>
      <c r="I7">
        <v>1</v>
      </c>
      <c r="J7" s="31">
        <v>44889</v>
      </c>
      <c r="K7">
        <v>4</v>
      </c>
      <c r="L7">
        <f>'Aula 8 - Entradas'!H10-'Aula 8 - Saídas'!K7</f>
        <v>146</v>
      </c>
      <c r="M7" s="2">
        <v>253</v>
      </c>
      <c r="N7" s="2">
        <f>K7*M7</f>
        <v>1012</v>
      </c>
    </row>
    <row r="8" spans="1:14" x14ac:dyDescent="0.3">
      <c r="J8" s="3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C7B7-20F8-405C-8CF8-B51FB48E60DC}">
  <sheetPr>
    <tabColor theme="9" tint="-0.249977111117893"/>
  </sheetPr>
  <dimension ref="A1:L32"/>
  <sheetViews>
    <sheetView showGridLines="0" zoomScale="70" zoomScaleNormal="70" workbookViewId="0">
      <pane ySplit="2" topLeftCell="A13" activePane="bottomLeft" state="frozen"/>
      <selection pane="bottomLeft" activeCell="F19" sqref="F19"/>
    </sheetView>
  </sheetViews>
  <sheetFormatPr defaultRowHeight="15.75" x14ac:dyDescent="0.3"/>
  <cols>
    <col min="1" max="1" width="10.21875" customWidth="1"/>
    <col min="2" max="2" width="24.33203125" customWidth="1"/>
    <col min="3" max="3" width="14.77734375" bestFit="1" customWidth="1"/>
    <col min="4" max="4" width="16.33203125" customWidth="1"/>
    <col min="5" max="5" width="16.109375" customWidth="1"/>
    <col min="6" max="6" width="13.109375" customWidth="1"/>
    <col min="7" max="7" width="10" bestFit="1" customWidth="1"/>
    <col min="8" max="8" width="15.21875" bestFit="1" customWidth="1"/>
    <col min="9" max="9" width="20.88671875" customWidth="1"/>
    <col min="10" max="10" width="16.6640625" bestFit="1" customWidth="1"/>
    <col min="11" max="11" width="22.109375" customWidth="1"/>
    <col min="12" max="12" width="25.44140625" customWidth="1"/>
  </cols>
  <sheetData>
    <row r="1" spans="1:12" ht="100.5" customHeight="1" x14ac:dyDescent="0.3"/>
    <row r="2" spans="1:12" s="24" customFormat="1" ht="36" x14ac:dyDescent="0.25">
      <c r="A2" s="22" t="s">
        <v>0</v>
      </c>
      <c r="B2" s="22" t="s">
        <v>1</v>
      </c>
      <c r="C2" s="22" t="s">
        <v>2</v>
      </c>
      <c r="D2" s="22" t="s">
        <v>45</v>
      </c>
      <c r="E2" s="22" t="s">
        <v>44</v>
      </c>
      <c r="F2" s="25" t="s">
        <v>116</v>
      </c>
      <c r="G2" s="23" t="s">
        <v>125</v>
      </c>
      <c r="H2" s="23" t="s">
        <v>126</v>
      </c>
      <c r="I2" s="38" t="s">
        <v>144</v>
      </c>
      <c r="J2" s="38" t="s">
        <v>145</v>
      </c>
      <c r="K2" s="38" t="s">
        <v>146</v>
      </c>
      <c r="L2" s="38" t="s">
        <v>147</v>
      </c>
    </row>
    <row r="3" spans="1:12" x14ac:dyDescent="0.3">
      <c r="A3" t="s">
        <v>5</v>
      </c>
      <c r="B3" t="s">
        <v>6</v>
      </c>
      <c r="C3" t="s">
        <v>17</v>
      </c>
      <c r="D3" t="s">
        <v>21</v>
      </c>
      <c r="E3">
        <v>5000</v>
      </c>
      <c r="F3" s="2">
        <v>130</v>
      </c>
      <c r="G3" s="2">
        <f>F3*$C$25+F3</f>
        <v>143.16900000000001</v>
      </c>
      <c r="H3" s="2">
        <f>E3*G3</f>
        <v>715845</v>
      </c>
      <c r="I3" t="str">
        <f>CONCATENATE(A3," - ",B3," - ",D3)</f>
        <v>tênis - mola - Azul</v>
      </c>
      <c r="J3" s="2">
        <f>INT(G3)</f>
        <v>143</v>
      </c>
      <c r="K3" s="2">
        <f>ROUNDUP(G3,0)</f>
        <v>144</v>
      </c>
      <c r="L3" s="2">
        <f>ROUNDDOWN(G3,0)</f>
        <v>143</v>
      </c>
    </row>
    <row r="4" spans="1:12" x14ac:dyDescent="0.3">
      <c r="A4" t="s">
        <v>5</v>
      </c>
      <c r="B4" t="s">
        <v>7</v>
      </c>
      <c r="C4" t="s">
        <v>18</v>
      </c>
      <c r="D4" t="s">
        <v>22</v>
      </c>
      <c r="E4">
        <v>3200</v>
      </c>
      <c r="F4" s="2">
        <v>90</v>
      </c>
      <c r="G4" s="2">
        <f t="shared" ref="G4:G22" si="0">F4*$C$25+F4</f>
        <v>99.117000000000004</v>
      </c>
      <c r="H4" s="2">
        <f t="shared" ref="H4:H22" si="1">E4*G4</f>
        <v>317174.40000000002</v>
      </c>
      <c r="I4" t="str">
        <f t="shared" ref="I4:I22" si="2">CONCATENATE(A4," - ",B4," - ",D4)</f>
        <v>tênis - degradê - Verde e Amarelo</v>
      </c>
      <c r="J4" s="2">
        <f t="shared" ref="J4:J22" si="3">INT(G4)</f>
        <v>99</v>
      </c>
      <c r="K4" s="2">
        <f t="shared" ref="K4:K22" si="4">ROUNDUP(G4,0)</f>
        <v>100</v>
      </c>
      <c r="L4" s="2">
        <f t="shared" ref="L4:L22" si="5">ROUNDDOWN(G4,0)</f>
        <v>99</v>
      </c>
    </row>
    <row r="5" spans="1:12" x14ac:dyDescent="0.3">
      <c r="A5" t="s">
        <v>5</v>
      </c>
      <c r="B5" t="s">
        <v>8</v>
      </c>
      <c r="C5" t="s">
        <v>17</v>
      </c>
      <c r="D5" t="s">
        <v>23</v>
      </c>
      <c r="E5" s="4">
        <v>2500</v>
      </c>
      <c r="F5" s="2">
        <v>140</v>
      </c>
      <c r="G5" s="2">
        <f>F5*$C$25+F5</f>
        <v>154.18199999999999</v>
      </c>
      <c r="H5" s="2">
        <f t="shared" si="1"/>
        <v>385454.99999999994</v>
      </c>
      <c r="I5" t="str">
        <f t="shared" si="2"/>
        <v>tênis - Cano Alto - Vermelho</v>
      </c>
      <c r="J5" s="2">
        <f t="shared" si="3"/>
        <v>154</v>
      </c>
      <c r="K5" s="2">
        <f t="shared" si="4"/>
        <v>155</v>
      </c>
      <c r="L5" s="2">
        <f t="shared" si="5"/>
        <v>154</v>
      </c>
    </row>
    <row r="6" spans="1:12" x14ac:dyDescent="0.3">
      <c r="A6" t="s">
        <v>5</v>
      </c>
      <c r="B6" t="s">
        <v>9</v>
      </c>
      <c r="C6" t="s">
        <v>19</v>
      </c>
      <c r="D6" t="s">
        <v>24</v>
      </c>
      <c r="E6" s="4">
        <v>11000</v>
      </c>
      <c r="F6" s="2">
        <v>100</v>
      </c>
      <c r="G6" s="2">
        <f t="shared" si="0"/>
        <v>110.13</v>
      </c>
      <c r="H6" s="2">
        <f t="shared" si="1"/>
        <v>1211430</v>
      </c>
      <c r="I6" t="str">
        <f t="shared" si="2"/>
        <v>tênis - Solado Plano - Preto</v>
      </c>
      <c r="J6" s="2">
        <f t="shared" si="3"/>
        <v>110</v>
      </c>
      <c r="K6" s="2">
        <f t="shared" si="4"/>
        <v>111</v>
      </c>
      <c r="L6" s="2">
        <f t="shared" si="5"/>
        <v>110</v>
      </c>
    </row>
    <row r="7" spans="1:12" x14ac:dyDescent="0.3">
      <c r="A7" t="s">
        <v>5</v>
      </c>
      <c r="B7" t="s">
        <v>9</v>
      </c>
      <c r="C7" t="s">
        <v>18</v>
      </c>
      <c r="D7" t="s">
        <v>25</v>
      </c>
      <c r="E7" s="4">
        <v>9000</v>
      </c>
      <c r="F7" s="2">
        <v>100</v>
      </c>
      <c r="G7" s="2">
        <f t="shared" si="0"/>
        <v>110.13</v>
      </c>
      <c r="H7" s="2">
        <f t="shared" si="1"/>
        <v>991170</v>
      </c>
      <c r="I7" t="str">
        <f t="shared" si="2"/>
        <v>tênis - Solado Plano - Rosa</v>
      </c>
      <c r="J7" s="2">
        <f t="shared" si="3"/>
        <v>110</v>
      </c>
      <c r="K7" s="2">
        <f t="shared" si="4"/>
        <v>111</v>
      </c>
      <c r="L7" s="2">
        <f t="shared" si="5"/>
        <v>110</v>
      </c>
    </row>
    <row r="8" spans="1:12" x14ac:dyDescent="0.3">
      <c r="A8" t="s">
        <v>5</v>
      </c>
      <c r="B8" t="s">
        <v>10</v>
      </c>
      <c r="C8" t="s">
        <v>17</v>
      </c>
      <c r="D8" t="s">
        <v>26</v>
      </c>
      <c r="E8" s="4">
        <v>15000</v>
      </c>
      <c r="F8" s="2">
        <v>165</v>
      </c>
      <c r="G8" s="2">
        <f t="shared" si="0"/>
        <v>181.71449999999999</v>
      </c>
      <c r="H8" s="2">
        <f t="shared" si="1"/>
        <v>2725717.5</v>
      </c>
      <c r="I8" t="str">
        <f t="shared" si="2"/>
        <v>tênis - Corrida - Preto e Azul</v>
      </c>
      <c r="J8" s="2">
        <f t="shared" si="3"/>
        <v>181</v>
      </c>
      <c r="K8" s="2">
        <f t="shared" si="4"/>
        <v>182</v>
      </c>
      <c r="L8" s="2">
        <f t="shared" si="5"/>
        <v>181</v>
      </c>
    </row>
    <row r="9" spans="1:12" x14ac:dyDescent="0.3">
      <c r="A9" t="s">
        <v>5</v>
      </c>
      <c r="B9" t="s">
        <v>10</v>
      </c>
      <c r="C9" t="s">
        <v>18</v>
      </c>
      <c r="D9" t="s">
        <v>27</v>
      </c>
      <c r="E9" s="4">
        <v>15000</v>
      </c>
      <c r="F9" s="2">
        <v>165</v>
      </c>
      <c r="G9" s="2">
        <f t="shared" si="0"/>
        <v>181.71449999999999</v>
      </c>
      <c r="H9" s="2">
        <f t="shared" si="1"/>
        <v>2725717.5</v>
      </c>
      <c r="I9" t="str">
        <f t="shared" si="2"/>
        <v>tênis - Corrida - Pink e Branco</v>
      </c>
      <c r="J9" s="2">
        <f t="shared" si="3"/>
        <v>181</v>
      </c>
      <c r="K9" s="2">
        <f t="shared" si="4"/>
        <v>182</v>
      </c>
      <c r="L9" s="2">
        <f t="shared" si="5"/>
        <v>181</v>
      </c>
    </row>
    <row r="10" spans="1:12" x14ac:dyDescent="0.3">
      <c r="A10" t="s">
        <v>5</v>
      </c>
      <c r="B10" t="s">
        <v>11</v>
      </c>
      <c r="C10" t="s">
        <v>20</v>
      </c>
      <c r="D10" t="s">
        <v>28</v>
      </c>
      <c r="E10" s="4">
        <v>4300</v>
      </c>
      <c r="F10" s="2">
        <v>230</v>
      </c>
      <c r="G10" s="2">
        <f t="shared" si="0"/>
        <v>253.29900000000001</v>
      </c>
      <c r="H10" s="2">
        <f t="shared" si="1"/>
        <v>1089185.7</v>
      </c>
      <c r="I10" t="str">
        <f t="shared" si="2"/>
        <v>tênis - Casual - Marrom</v>
      </c>
      <c r="J10" s="2">
        <f t="shared" si="3"/>
        <v>253</v>
      </c>
      <c r="K10" s="2">
        <f t="shared" si="4"/>
        <v>254</v>
      </c>
      <c r="L10" s="2">
        <f t="shared" si="5"/>
        <v>253</v>
      </c>
    </row>
    <row r="11" spans="1:12" x14ac:dyDescent="0.3">
      <c r="A11" t="s">
        <v>5</v>
      </c>
      <c r="B11" t="s">
        <v>11</v>
      </c>
      <c r="C11" t="s">
        <v>18</v>
      </c>
      <c r="D11" t="s">
        <v>29</v>
      </c>
      <c r="E11" s="4">
        <v>2400</v>
      </c>
      <c r="F11" s="2">
        <v>230</v>
      </c>
      <c r="G11" s="2">
        <f t="shared" si="0"/>
        <v>253.29900000000001</v>
      </c>
      <c r="H11" s="2">
        <f t="shared" si="1"/>
        <v>607917.6</v>
      </c>
      <c r="I11" t="str">
        <f t="shared" si="2"/>
        <v>tênis - Casual - Laranja</v>
      </c>
      <c r="J11" s="2">
        <f t="shared" si="3"/>
        <v>253</v>
      </c>
      <c r="K11" s="2">
        <f t="shared" si="4"/>
        <v>254</v>
      </c>
      <c r="L11" s="2">
        <f t="shared" si="5"/>
        <v>253</v>
      </c>
    </row>
    <row r="12" spans="1:12" x14ac:dyDescent="0.3">
      <c r="A12" t="s">
        <v>5</v>
      </c>
      <c r="B12" t="s">
        <v>12</v>
      </c>
      <c r="C12" t="s">
        <v>17</v>
      </c>
      <c r="D12" t="s">
        <v>30</v>
      </c>
      <c r="E12" s="4">
        <v>8000</v>
      </c>
      <c r="F12" s="2">
        <v>184</v>
      </c>
      <c r="G12" s="2">
        <f t="shared" si="0"/>
        <v>202.63919999999999</v>
      </c>
      <c r="H12" s="2">
        <f t="shared" si="1"/>
        <v>1621113.5999999999</v>
      </c>
      <c r="I12" t="str">
        <f t="shared" si="2"/>
        <v>tênis - Caminhada - Laranja e Branco</v>
      </c>
      <c r="J12" s="2">
        <f t="shared" si="3"/>
        <v>202</v>
      </c>
      <c r="K12" s="2">
        <f t="shared" si="4"/>
        <v>203</v>
      </c>
      <c r="L12" s="2">
        <f t="shared" si="5"/>
        <v>202</v>
      </c>
    </row>
    <row r="13" spans="1:12" x14ac:dyDescent="0.3">
      <c r="A13" t="s">
        <v>5</v>
      </c>
      <c r="B13" t="s">
        <v>12</v>
      </c>
      <c r="C13" t="s">
        <v>18</v>
      </c>
      <c r="D13" t="s">
        <v>31</v>
      </c>
      <c r="E13" s="4">
        <v>10000</v>
      </c>
      <c r="F13" s="2">
        <v>195</v>
      </c>
      <c r="G13" s="2">
        <f t="shared" si="0"/>
        <v>214.7535</v>
      </c>
      <c r="H13" s="2">
        <f t="shared" si="1"/>
        <v>2147535</v>
      </c>
      <c r="I13" t="str">
        <f t="shared" si="2"/>
        <v>tênis - Caminhada - Azul e rosa</v>
      </c>
      <c r="J13" s="2">
        <f t="shared" si="3"/>
        <v>214</v>
      </c>
      <c r="K13" s="2">
        <f t="shared" si="4"/>
        <v>215</v>
      </c>
      <c r="L13" s="2">
        <f t="shared" si="5"/>
        <v>214</v>
      </c>
    </row>
    <row r="14" spans="1:12" x14ac:dyDescent="0.3">
      <c r="A14" t="s">
        <v>5</v>
      </c>
      <c r="B14" t="s">
        <v>13</v>
      </c>
      <c r="C14" t="s">
        <v>17</v>
      </c>
      <c r="D14" t="s">
        <v>32</v>
      </c>
      <c r="E14" s="4">
        <v>14000</v>
      </c>
      <c r="F14" s="2">
        <v>205</v>
      </c>
      <c r="G14" s="2">
        <f t="shared" si="0"/>
        <v>225.76650000000001</v>
      </c>
      <c r="H14" s="2">
        <f t="shared" si="1"/>
        <v>3160731</v>
      </c>
      <c r="I14" t="str">
        <f t="shared" si="2"/>
        <v>tênis - Academia - Verde Escuro</v>
      </c>
      <c r="J14" s="2">
        <f t="shared" si="3"/>
        <v>225</v>
      </c>
      <c r="K14" s="2">
        <f t="shared" si="4"/>
        <v>226</v>
      </c>
      <c r="L14" s="2">
        <f t="shared" si="5"/>
        <v>225</v>
      </c>
    </row>
    <row r="15" spans="1:12" x14ac:dyDescent="0.3">
      <c r="A15" t="s">
        <v>5</v>
      </c>
      <c r="B15" t="s">
        <v>13</v>
      </c>
      <c r="C15" t="s">
        <v>18</v>
      </c>
      <c r="D15" t="s">
        <v>33</v>
      </c>
      <c r="E15" s="4">
        <v>14000</v>
      </c>
      <c r="F15" s="2">
        <v>195</v>
      </c>
      <c r="G15" s="2">
        <f t="shared" si="0"/>
        <v>214.7535</v>
      </c>
      <c r="H15" s="2">
        <f t="shared" si="1"/>
        <v>3006549</v>
      </c>
      <c r="I15" t="str">
        <f t="shared" si="2"/>
        <v>tênis - Academia - Branco</v>
      </c>
      <c r="J15" s="2">
        <f t="shared" si="3"/>
        <v>214</v>
      </c>
      <c r="K15" s="2">
        <f t="shared" si="4"/>
        <v>215</v>
      </c>
      <c r="L15" s="2">
        <f t="shared" si="5"/>
        <v>214</v>
      </c>
    </row>
    <row r="16" spans="1:12" x14ac:dyDescent="0.3">
      <c r="A16" t="s">
        <v>5</v>
      </c>
      <c r="B16" t="s">
        <v>14</v>
      </c>
      <c r="C16" t="s">
        <v>17</v>
      </c>
      <c r="D16" t="s">
        <v>34</v>
      </c>
      <c r="E16" s="4">
        <v>1500</v>
      </c>
      <c r="F16" s="2">
        <v>200</v>
      </c>
      <c r="G16" s="2">
        <f t="shared" si="0"/>
        <v>220.26</v>
      </c>
      <c r="H16" s="2">
        <f t="shared" si="1"/>
        <v>330390</v>
      </c>
      <c r="I16" t="str">
        <f t="shared" si="2"/>
        <v>tênis - Voleybol - Colorido</v>
      </c>
      <c r="J16" s="2">
        <f t="shared" si="3"/>
        <v>220</v>
      </c>
      <c r="K16" s="2">
        <f t="shared" si="4"/>
        <v>221</v>
      </c>
      <c r="L16" s="2">
        <f t="shared" si="5"/>
        <v>220</v>
      </c>
    </row>
    <row r="17" spans="1:12" x14ac:dyDescent="0.3">
      <c r="A17" t="s">
        <v>5</v>
      </c>
      <c r="B17" t="s">
        <v>14</v>
      </c>
      <c r="C17" t="s">
        <v>18</v>
      </c>
      <c r="D17" t="s">
        <v>34</v>
      </c>
      <c r="E17" s="4">
        <v>4000</v>
      </c>
      <c r="F17" s="2">
        <v>185</v>
      </c>
      <c r="G17" s="2">
        <f t="shared" si="0"/>
        <v>203.7405</v>
      </c>
      <c r="H17" s="2">
        <f t="shared" si="1"/>
        <v>814962</v>
      </c>
      <c r="I17" t="str">
        <f t="shared" si="2"/>
        <v>tênis - Voleybol - Colorido</v>
      </c>
      <c r="J17" s="2">
        <f t="shared" si="3"/>
        <v>203</v>
      </c>
      <c r="K17" s="2">
        <f t="shared" si="4"/>
        <v>204</v>
      </c>
      <c r="L17" s="2">
        <f t="shared" si="5"/>
        <v>203</v>
      </c>
    </row>
    <row r="18" spans="1:12" x14ac:dyDescent="0.3">
      <c r="A18" t="s">
        <v>5</v>
      </c>
      <c r="B18" t="s">
        <v>15</v>
      </c>
      <c r="C18" t="s">
        <v>17</v>
      </c>
      <c r="D18" t="s">
        <v>35</v>
      </c>
      <c r="E18" s="4">
        <v>6000</v>
      </c>
      <c r="F18" s="2">
        <v>330</v>
      </c>
      <c r="G18" s="2">
        <f t="shared" si="0"/>
        <v>363.42899999999997</v>
      </c>
      <c r="H18" s="2">
        <f t="shared" si="1"/>
        <v>2180574</v>
      </c>
      <c r="I18" t="str">
        <f t="shared" si="2"/>
        <v>tênis - Futebol de Salão - Preto e Laranja</v>
      </c>
      <c r="J18" s="2">
        <f t="shared" si="3"/>
        <v>363</v>
      </c>
      <c r="K18" s="2">
        <f t="shared" si="4"/>
        <v>364</v>
      </c>
      <c r="L18" s="2">
        <f t="shared" si="5"/>
        <v>363</v>
      </c>
    </row>
    <row r="19" spans="1:12" x14ac:dyDescent="0.3">
      <c r="A19" t="s">
        <v>5</v>
      </c>
      <c r="B19" t="s">
        <v>16</v>
      </c>
      <c r="C19" t="s">
        <v>17</v>
      </c>
      <c r="D19" t="s">
        <v>36</v>
      </c>
      <c r="E19" s="4">
        <v>1000</v>
      </c>
      <c r="F19" s="2">
        <v>340</v>
      </c>
      <c r="G19" s="2">
        <f t="shared" si="0"/>
        <v>374.44200000000001</v>
      </c>
      <c r="H19" s="2">
        <f t="shared" si="1"/>
        <v>374442</v>
      </c>
      <c r="I19" t="str">
        <f t="shared" si="2"/>
        <v>tênis - Adventure - Preto e Verde</v>
      </c>
      <c r="J19" s="2">
        <f t="shared" si="3"/>
        <v>374</v>
      </c>
      <c r="K19" s="2">
        <f t="shared" si="4"/>
        <v>375</v>
      </c>
      <c r="L19" s="2">
        <f t="shared" si="5"/>
        <v>374</v>
      </c>
    </row>
    <row r="20" spans="1:12" x14ac:dyDescent="0.3">
      <c r="A20" t="s">
        <v>5</v>
      </c>
      <c r="B20" t="s">
        <v>16</v>
      </c>
      <c r="C20" t="s">
        <v>18</v>
      </c>
      <c r="D20" t="s">
        <v>37</v>
      </c>
      <c r="E20" s="4">
        <v>1000</v>
      </c>
      <c r="F20" s="2">
        <v>320</v>
      </c>
      <c r="G20" s="2">
        <f t="shared" si="0"/>
        <v>352.416</v>
      </c>
      <c r="H20" s="2">
        <f t="shared" si="1"/>
        <v>352416</v>
      </c>
      <c r="I20" t="str">
        <f t="shared" si="2"/>
        <v>tênis - Adventure - Lilás</v>
      </c>
      <c r="J20" s="2">
        <f>INT(G20)</f>
        <v>352</v>
      </c>
      <c r="K20" s="2">
        <f t="shared" si="4"/>
        <v>353</v>
      </c>
      <c r="L20" s="2">
        <f t="shared" si="5"/>
        <v>352</v>
      </c>
    </row>
    <row r="21" spans="1:12" x14ac:dyDescent="0.3">
      <c r="A21" t="s">
        <v>38</v>
      </c>
      <c r="B21" t="s">
        <v>39</v>
      </c>
      <c r="C21" t="s">
        <v>17</v>
      </c>
      <c r="D21" t="s">
        <v>28</v>
      </c>
      <c r="E21" s="4">
        <v>500</v>
      </c>
      <c r="F21" s="2">
        <v>80</v>
      </c>
      <c r="G21" s="2">
        <f t="shared" si="0"/>
        <v>88.103999999999999</v>
      </c>
      <c r="H21" s="2">
        <f t="shared" si="1"/>
        <v>44052</v>
      </c>
      <c r="I21" t="str">
        <f t="shared" si="2"/>
        <v>Sapatênis - Classico - Marrom</v>
      </c>
      <c r="J21" s="2">
        <f t="shared" si="3"/>
        <v>88</v>
      </c>
      <c r="K21" s="2">
        <f t="shared" si="4"/>
        <v>89</v>
      </c>
      <c r="L21" s="2">
        <f t="shared" si="5"/>
        <v>88</v>
      </c>
    </row>
    <row r="22" spans="1:12" x14ac:dyDescent="0.3">
      <c r="A22" t="s">
        <v>38</v>
      </c>
      <c r="B22" t="s">
        <v>39</v>
      </c>
      <c r="C22" t="s">
        <v>17</v>
      </c>
      <c r="D22" t="s">
        <v>24</v>
      </c>
      <c r="E22" s="4">
        <v>700</v>
      </c>
      <c r="F22" s="2">
        <v>70</v>
      </c>
      <c r="G22" s="2">
        <f t="shared" si="0"/>
        <v>77.090999999999994</v>
      </c>
      <c r="H22" s="2">
        <f t="shared" si="1"/>
        <v>53963.7</v>
      </c>
      <c r="I22" t="str">
        <f t="shared" si="2"/>
        <v>Sapatênis - Classico - Preto</v>
      </c>
      <c r="J22" s="2">
        <f t="shared" si="3"/>
        <v>77</v>
      </c>
      <c r="K22" s="2">
        <f t="shared" si="4"/>
        <v>78</v>
      </c>
      <c r="L22" s="2">
        <f t="shared" si="5"/>
        <v>77</v>
      </c>
    </row>
    <row r="25" spans="1:12" x14ac:dyDescent="0.3">
      <c r="A25" s="68" t="s">
        <v>117</v>
      </c>
      <c r="B25" s="68"/>
      <c r="C25" s="37">
        <v>0.1013</v>
      </c>
    </row>
    <row r="26" spans="1:12" x14ac:dyDescent="0.3">
      <c r="A26" s="67" t="s">
        <v>118</v>
      </c>
      <c r="B26" s="67"/>
      <c r="C26" s="27">
        <f>COUNTA(A3:A22)</f>
        <v>20</v>
      </c>
    </row>
    <row r="27" spans="1:12" x14ac:dyDescent="0.3">
      <c r="A27" s="67" t="s">
        <v>119</v>
      </c>
      <c r="B27" s="67"/>
      <c r="C27" s="27">
        <f>COUNT(E3:E22)</f>
        <v>20</v>
      </c>
    </row>
    <row r="28" spans="1:12" x14ac:dyDescent="0.3">
      <c r="A28" s="67" t="s">
        <v>120</v>
      </c>
      <c r="B28" s="67"/>
      <c r="C28" s="28">
        <f>AVERAGE(H3:H22)</f>
        <v>1242817.0499999998</v>
      </c>
    </row>
    <row r="29" spans="1:12" x14ac:dyDescent="0.3">
      <c r="A29" s="67" t="s">
        <v>121</v>
      </c>
      <c r="B29" s="67"/>
      <c r="C29" s="28">
        <f>MIN(F3:F22)</f>
        <v>70</v>
      </c>
    </row>
    <row r="30" spans="1:12" x14ac:dyDescent="0.3">
      <c r="A30" s="67" t="s">
        <v>122</v>
      </c>
      <c r="B30" s="67"/>
      <c r="C30" s="28">
        <f>MAX(G3:G22)</f>
        <v>374.44200000000001</v>
      </c>
    </row>
    <row r="31" spans="1:12" x14ac:dyDescent="0.3">
      <c r="A31" s="67" t="s">
        <v>123</v>
      </c>
      <c r="B31" s="67"/>
      <c r="C31" s="27">
        <f>LARGE(G3:G22,2)</f>
        <v>363.42899999999997</v>
      </c>
    </row>
    <row r="32" spans="1:12" x14ac:dyDescent="0.3">
      <c r="A32" s="67" t="s">
        <v>124</v>
      </c>
      <c r="B32" s="67"/>
      <c r="C32" s="27">
        <f>SMALL(F3:F22,3)</f>
        <v>90</v>
      </c>
    </row>
  </sheetData>
  <mergeCells count="8">
    <mergeCell ref="A31:B31"/>
    <mergeCell ref="A32:B32"/>
    <mergeCell ref="A25:B25"/>
    <mergeCell ref="A26:B26"/>
    <mergeCell ref="A27:B27"/>
    <mergeCell ref="A28:B28"/>
    <mergeCell ref="A29:B29"/>
    <mergeCell ref="A30:B3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4EFC-1DDF-4790-A879-1BB6FEE7EB35}">
  <sheetPr>
    <tabColor theme="7" tint="-0.249977111117893"/>
  </sheetPr>
  <dimension ref="A1:H22"/>
  <sheetViews>
    <sheetView zoomScale="80" zoomScaleNormal="80" workbookViewId="0">
      <selection activeCell="C25" sqref="C25"/>
    </sheetView>
  </sheetViews>
  <sheetFormatPr defaultRowHeight="15.75" x14ac:dyDescent="0.3"/>
  <cols>
    <col min="1" max="1" width="4.44140625" customWidth="1"/>
    <col min="2" max="2" width="22.77734375" bestFit="1" customWidth="1"/>
    <col min="3" max="3" width="17.6640625" bestFit="1" customWidth="1"/>
    <col min="4" max="4" width="12.77734375" customWidth="1"/>
    <col min="5" max="5" width="11.21875" customWidth="1"/>
    <col min="6" max="6" width="9.44140625" customWidth="1"/>
    <col min="7" max="7" width="16.5546875" customWidth="1"/>
  </cols>
  <sheetData>
    <row r="1" spans="1:8" s="39" customFormat="1" ht="16.5" x14ac:dyDescent="0.3">
      <c r="A1" s="39" t="s">
        <v>148</v>
      </c>
    </row>
    <row r="3" spans="1:8" ht="16.5" x14ac:dyDescent="0.3">
      <c r="F3" s="45" t="s">
        <v>161</v>
      </c>
      <c r="G3" s="46"/>
      <c r="H3" s="47">
        <v>0.33333333333333331</v>
      </c>
    </row>
    <row r="5" spans="1:8" s="42" customFormat="1" ht="33" x14ac:dyDescent="0.3">
      <c r="A5" s="43"/>
      <c r="B5" s="42" t="s">
        <v>149</v>
      </c>
      <c r="C5" s="41" t="s">
        <v>150</v>
      </c>
      <c r="D5" s="41" t="s">
        <v>151</v>
      </c>
      <c r="E5" s="41" t="s">
        <v>135</v>
      </c>
      <c r="F5" s="41" t="s">
        <v>152</v>
      </c>
      <c r="G5" s="41" t="s">
        <v>153</v>
      </c>
      <c r="H5" s="41" t="s">
        <v>154</v>
      </c>
    </row>
    <row r="6" spans="1:8" x14ac:dyDescent="0.3">
      <c r="B6" t="s">
        <v>155</v>
      </c>
      <c r="C6" s="31">
        <v>44881</v>
      </c>
      <c r="D6" s="44">
        <v>0.33333333333333331</v>
      </c>
      <c r="E6" s="31">
        <v>44881</v>
      </c>
      <c r="F6" s="44">
        <v>0.72222222222222221</v>
      </c>
      <c r="G6" s="44">
        <f>F6-D6</f>
        <v>0.3888888888888889</v>
      </c>
      <c r="H6" s="44">
        <f>G6-$H$3</f>
        <v>5.555555555555558E-2</v>
      </c>
    </row>
    <row r="7" spans="1:8" x14ac:dyDescent="0.3">
      <c r="B7" t="s">
        <v>156</v>
      </c>
      <c r="C7" s="31">
        <v>44881</v>
      </c>
      <c r="D7" s="44">
        <v>0.32708333333333334</v>
      </c>
      <c r="E7" s="31">
        <v>44881</v>
      </c>
      <c r="F7" s="44">
        <v>0.79166666666666663</v>
      </c>
      <c r="G7" s="44">
        <f t="shared" ref="G7:G11" si="0">F7-D7</f>
        <v>0.46458333333333329</v>
      </c>
      <c r="H7" s="44">
        <f t="shared" ref="H7:H11" si="1">G7-$H$3</f>
        <v>0.13124999999999998</v>
      </c>
    </row>
    <row r="8" spans="1:8" x14ac:dyDescent="0.3">
      <c r="B8" t="s">
        <v>157</v>
      </c>
      <c r="C8" s="31">
        <v>44881</v>
      </c>
      <c r="D8" s="44">
        <v>0.36805555555555558</v>
      </c>
      <c r="E8" s="31">
        <v>44881</v>
      </c>
      <c r="F8" s="44">
        <v>0.81944444444444453</v>
      </c>
      <c r="G8" s="44">
        <f t="shared" si="0"/>
        <v>0.45138888888888895</v>
      </c>
      <c r="H8" s="44">
        <f t="shared" si="1"/>
        <v>0.11805555555555564</v>
      </c>
    </row>
    <row r="9" spans="1:8" x14ac:dyDescent="0.3">
      <c r="B9" t="s">
        <v>158</v>
      </c>
      <c r="C9" s="31">
        <v>44881</v>
      </c>
      <c r="D9" s="44">
        <v>0.32291666666666669</v>
      </c>
      <c r="E9" s="31">
        <v>44881</v>
      </c>
      <c r="F9" s="44">
        <v>0.74305555555555547</v>
      </c>
      <c r="G9" s="44">
        <f t="shared" si="0"/>
        <v>0.42013888888888878</v>
      </c>
      <c r="H9" s="44">
        <f t="shared" si="1"/>
        <v>8.6805555555555469E-2</v>
      </c>
    </row>
    <row r="10" spans="1:8" x14ac:dyDescent="0.3">
      <c r="B10" t="s">
        <v>159</v>
      </c>
      <c r="C10" s="31">
        <v>44881</v>
      </c>
      <c r="D10" s="44">
        <v>0.3354166666666667</v>
      </c>
      <c r="E10" s="31">
        <v>44881</v>
      </c>
      <c r="F10" s="44">
        <v>0.77430555555555547</v>
      </c>
      <c r="G10" s="44">
        <f t="shared" si="0"/>
        <v>0.43888888888888877</v>
      </c>
      <c r="H10" s="44">
        <f t="shared" si="1"/>
        <v>0.10555555555555546</v>
      </c>
    </row>
    <row r="11" spans="1:8" x14ac:dyDescent="0.3">
      <c r="B11" t="s">
        <v>160</v>
      </c>
      <c r="C11" s="31">
        <v>44881</v>
      </c>
      <c r="D11" s="44">
        <v>0.33333333333333331</v>
      </c>
      <c r="E11" s="31">
        <v>44881</v>
      </c>
      <c r="F11" s="44">
        <v>0.70833333333333337</v>
      </c>
      <c r="G11" s="44">
        <f t="shared" si="0"/>
        <v>0.37500000000000006</v>
      </c>
      <c r="H11" s="44">
        <f t="shared" si="1"/>
        <v>4.1666666666666741E-2</v>
      </c>
    </row>
    <row r="14" spans="1:8" x14ac:dyDescent="0.3">
      <c r="B14" s="40" t="s">
        <v>162</v>
      </c>
      <c r="C14" s="48">
        <f ca="1">NOW()</f>
        <v>45649.461882754629</v>
      </c>
    </row>
    <row r="19" spans="2:2" ht="21" x14ac:dyDescent="0.4">
      <c r="B19" s="49"/>
    </row>
    <row r="22" spans="2:2" x14ac:dyDescent="0.3">
      <c r="B22" s="48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ED53-4C92-428C-AAE4-01DA8144565A}">
  <sheetPr>
    <tabColor rgb="FF00FFFF"/>
  </sheetPr>
  <dimension ref="A1:J13"/>
  <sheetViews>
    <sheetView topLeftCell="C1" zoomScale="80" zoomScaleNormal="80" workbookViewId="0">
      <selection activeCell="H14" sqref="H14"/>
    </sheetView>
  </sheetViews>
  <sheetFormatPr defaultRowHeight="15.75" x14ac:dyDescent="0.3"/>
  <cols>
    <col min="2" max="2" width="16.21875" bestFit="1" customWidth="1"/>
    <col min="10" max="10" width="16.77734375" customWidth="1"/>
  </cols>
  <sheetData>
    <row r="1" spans="1:10" s="50" customFormat="1" ht="27.75" customHeight="1" x14ac:dyDescent="0.3">
      <c r="A1" s="51" t="s">
        <v>163</v>
      </c>
    </row>
    <row r="4" spans="1:10" s="52" customFormat="1" ht="31.5" x14ac:dyDescent="0.3">
      <c r="B4" s="52" t="s">
        <v>164</v>
      </c>
      <c r="C4" s="52" t="s">
        <v>165</v>
      </c>
      <c r="D4" s="52" t="s">
        <v>166</v>
      </c>
      <c r="E4" s="52" t="s">
        <v>167</v>
      </c>
      <c r="F4" s="52" t="s">
        <v>168</v>
      </c>
      <c r="G4" s="52" t="s">
        <v>169</v>
      </c>
      <c r="H4" s="52" t="s">
        <v>170</v>
      </c>
      <c r="I4" s="52" t="s">
        <v>171</v>
      </c>
      <c r="J4" s="52" t="s">
        <v>172</v>
      </c>
    </row>
    <row r="5" spans="1:10" x14ac:dyDescent="0.3">
      <c r="B5" s="53" t="s">
        <v>155</v>
      </c>
      <c r="C5" s="53" t="s">
        <v>173</v>
      </c>
      <c r="D5" s="53" t="s">
        <v>175</v>
      </c>
      <c r="E5" s="53">
        <v>9</v>
      </c>
      <c r="F5" s="53">
        <v>4</v>
      </c>
      <c r="G5" s="53">
        <v>6</v>
      </c>
      <c r="H5" s="53">
        <v>10</v>
      </c>
      <c r="I5" s="56">
        <f>AVERAGE(E5:H5)</f>
        <v>7.25</v>
      </c>
      <c r="J5" s="53" t="str">
        <f>IF(I5&gt;=8,"CAMPEÃO(Ã)","NÃO FOI DESSA VEZ")</f>
        <v>NÃO FOI DESSA VEZ</v>
      </c>
    </row>
    <row r="6" spans="1:10" x14ac:dyDescent="0.3">
      <c r="B6" s="53" t="s">
        <v>156</v>
      </c>
      <c r="C6" s="53" t="s">
        <v>173</v>
      </c>
      <c r="D6" s="53" t="s">
        <v>176</v>
      </c>
      <c r="E6" s="53">
        <v>6</v>
      </c>
      <c r="F6" s="53">
        <v>6</v>
      </c>
      <c r="G6" s="53">
        <v>8</v>
      </c>
      <c r="H6" s="53">
        <v>9</v>
      </c>
      <c r="I6" s="56">
        <f t="shared" ref="I6:I10" si="0">AVERAGE(E6:H6)</f>
        <v>7.25</v>
      </c>
      <c r="J6" s="53" t="str">
        <f t="shared" ref="J6:J10" si="1">IF(I6&gt;=8,"CAMPEÃO(Ã)","NÃO FOI DESSA VEZ")</f>
        <v>NÃO FOI DESSA VEZ</v>
      </c>
    </row>
    <row r="7" spans="1:10" x14ac:dyDescent="0.3">
      <c r="B7" s="53" t="s">
        <v>157</v>
      </c>
      <c r="C7" s="53" t="s">
        <v>174</v>
      </c>
      <c r="D7" s="53" t="s">
        <v>175</v>
      </c>
      <c r="E7" s="53">
        <v>8</v>
      </c>
      <c r="F7" s="53">
        <v>9</v>
      </c>
      <c r="G7" s="53">
        <v>8</v>
      </c>
      <c r="H7" s="53">
        <v>6</v>
      </c>
      <c r="I7" s="56">
        <f t="shared" si="0"/>
        <v>7.75</v>
      </c>
      <c r="J7" s="53" t="str">
        <f t="shared" si="1"/>
        <v>NÃO FOI DESSA VEZ</v>
      </c>
    </row>
    <row r="8" spans="1:10" x14ac:dyDescent="0.3">
      <c r="B8" s="53" t="s">
        <v>158</v>
      </c>
      <c r="C8" s="53" t="s">
        <v>174</v>
      </c>
      <c r="D8" s="53" t="s">
        <v>176</v>
      </c>
      <c r="E8" s="53">
        <v>8</v>
      </c>
      <c r="F8" s="53">
        <v>8</v>
      </c>
      <c r="G8" s="53">
        <v>7</v>
      </c>
      <c r="H8" s="53">
        <v>9</v>
      </c>
      <c r="I8" s="56">
        <f t="shared" si="0"/>
        <v>8</v>
      </c>
      <c r="J8" s="53" t="str">
        <f t="shared" si="1"/>
        <v>CAMPEÃO(Ã)</v>
      </c>
    </row>
    <row r="9" spans="1:10" x14ac:dyDescent="0.3">
      <c r="B9" s="53" t="s">
        <v>159</v>
      </c>
      <c r="C9" s="53" t="s">
        <v>173</v>
      </c>
      <c r="D9" s="53" t="s">
        <v>175</v>
      </c>
      <c r="E9" s="53">
        <v>9</v>
      </c>
      <c r="F9" s="53">
        <v>7</v>
      </c>
      <c r="G9" s="53">
        <v>8</v>
      </c>
      <c r="H9" s="53">
        <v>9</v>
      </c>
      <c r="I9" s="56">
        <f t="shared" si="0"/>
        <v>8.25</v>
      </c>
      <c r="J9" s="53" t="str">
        <f t="shared" si="1"/>
        <v>CAMPEÃO(Ã)</v>
      </c>
    </row>
    <row r="10" spans="1:10" x14ac:dyDescent="0.3">
      <c r="B10" s="53" t="s">
        <v>160</v>
      </c>
      <c r="C10" s="53" t="s">
        <v>174</v>
      </c>
      <c r="D10" s="53" t="s">
        <v>176</v>
      </c>
      <c r="E10" s="53">
        <v>10</v>
      </c>
      <c r="F10" s="53">
        <v>10</v>
      </c>
      <c r="G10" s="53">
        <v>9</v>
      </c>
      <c r="H10" s="53">
        <v>6</v>
      </c>
      <c r="I10" s="56">
        <f t="shared" si="0"/>
        <v>8.75</v>
      </c>
      <c r="J10" s="53" t="str">
        <f t="shared" si="1"/>
        <v>CAMPEÃO(Ã)</v>
      </c>
    </row>
    <row r="12" spans="1:10" x14ac:dyDescent="0.3">
      <c r="B12" s="54"/>
      <c r="C12" s="55" t="s">
        <v>177</v>
      </c>
      <c r="D12" s="54"/>
      <c r="E12" s="54"/>
      <c r="F12" s="54"/>
      <c r="G12" s="54"/>
      <c r="H12" s="54">
        <f>COUNTIF(C5:C10,"F")</f>
        <v>3</v>
      </c>
    </row>
    <row r="13" spans="1:10" x14ac:dyDescent="0.3">
      <c r="B13" s="54"/>
      <c r="C13" s="55" t="s">
        <v>178</v>
      </c>
      <c r="D13" s="54"/>
      <c r="E13" s="54"/>
      <c r="F13" s="54"/>
      <c r="G13" s="54"/>
      <c r="H13" s="54">
        <f>COUNTIF(C6:C11,"M")</f>
        <v>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956F-76C8-4427-A2F6-EB03DA8C4955}">
  <sheetPr>
    <tabColor rgb="FFFFC000"/>
  </sheetPr>
  <dimension ref="A1:H13"/>
  <sheetViews>
    <sheetView showGridLines="0" zoomScale="80" zoomScaleNormal="80" workbookViewId="0"/>
  </sheetViews>
  <sheetFormatPr defaultRowHeight="15.75" x14ac:dyDescent="0.3"/>
  <cols>
    <col min="1" max="1" width="25.21875" customWidth="1"/>
    <col min="2" max="2" width="28.109375" customWidth="1"/>
    <col min="3" max="3" width="18.44140625" customWidth="1"/>
    <col min="4" max="4" width="17.88671875" customWidth="1"/>
    <col min="5" max="5" width="14.77734375" customWidth="1"/>
    <col min="6" max="6" width="16.88671875" customWidth="1"/>
    <col min="7" max="7" width="17.6640625" customWidth="1"/>
    <col min="8" max="8" width="14.44140625" customWidth="1"/>
  </cols>
  <sheetData>
    <row r="1" spans="1:8" s="9" customFormat="1" ht="36.75" customHeight="1" x14ac:dyDescent="0.35">
      <c r="A1" s="10" t="s">
        <v>71</v>
      </c>
      <c r="B1" s="8"/>
    </row>
    <row r="3" spans="1:8" ht="16.5" x14ac:dyDescent="0.3">
      <c r="G3" s="58" t="s">
        <v>179</v>
      </c>
      <c r="H3" s="57">
        <v>0.1</v>
      </c>
    </row>
    <row r="5" spans="1:8" s="11" customFormat="1" ht="36" customHeight="1" x14ac:dyDescent="0.3">
      <c r="A5" s="12"/>
      <c r="B5" s="13" t="s">
        <v>59</v>
      </c>
      <c r="C5" s="13" t="s">
        <v>60</v>
      </c>
      <c r="D5" s="13" t="s">
        <v>61</v>
      </c>
      <c r="E5" s="13" t="s">
        <v>62</v>
      </c>
      <c r="F5" s="13" t="s">
        <v>63</v>
      </c>
      <c r="G5" s="13" t="s">
        <v>64</v>
      </c>
      <c r="H5" s="13" t="s">
        <v>65</v>
      </c>
    </row>
    <row r="6" spans="1:8" x14ac:dyDescent="0.3">
      <c r="B6" t="s">
        <v>72</v>
      </c>
      <c r="C6" t="s">
        <v>17</v>
      </c>
      <c r="D6" t="s">
        <v>28</v>
      </c>
      <c r="E6" t="s">
        <v>11</v>
      </c>
      <c r="F6">
        <v>20</v>
      </c>
      <c r="G6" s="2">
        <v>230</v>
      </c>
      <c r="H6" s="2">
        <f>G6*$H$3+G6</f>
        <v>253</v>
      </c>
    </row>
    <row r="7" spans="1:8" x14ac:dyDescent="0.3">
      <c r="B7" t="s">
        <v>72</v>
      </c>
      <c r="C7" t="s">
        <v>18</v>
      </c>
      <c r="D7" t="s">
        <v>29</v>
      </c>
      <c r="E7" t="s">
        <v>11</v>
      </c>
      <c r="F7">
        <v>50</v>
      </c>
      <c r="G7" s="2">
        <v>230</v>
      </c>
      <c r="H7" s="2">
        <f t="shared" ref="H7:H13" si="0">G7*$H$3+G7</f>
        <v>253</v>
      </c>
    </row>
    <row r="8" spans="1:8" x14ac:dyDescent="0.3">
      <c r="B8" t="s">
        <v>72</v>
      </c>
      <c r="C8" t="s">
        <v>17</v>
      </c>
      <c r="D8" t="s">
        <v>21</v>
      </c>
      <c r="E8" t="s">
        <v>74</v>
      </c>
      <c r="F8">
        <v>100</v>
      </c>
      <c r="G8" s="2">
        <v>130</v>
      </c>
      <c r="H8" s="2">
        <f t="shared" si="0"/>
        <v>143</v>
      </c>
    </row>
    <row r="9" spans="1:8" x14ac:dyDescent="0.3">
      <c r="B9" t="s">
        <v>72</v>
      </c>
      <c r="C9" t="s">
        <v>18</v>
      </c>
      <c r="D9" t="s">
        <v>22</v>
      </c>
      <c r="E9" t="s">
        <v>75</v>
      </c>
      <c r="F9">
        <v>150</v>
      </c>
      <c r="G9" s="2">
        <v>90</v>
      </c>
      <c r="H9" s="2">
        <f t="shared" si="0"/>
        <v>99</v>
      </c>
    </row>
    <row r="10" spans="1:8" x14ac:dyDescent="0.3">
      <c r="B10" t="s">
        <v>72</v>
      </c>
      <c r="C10" t="s">
        <v>17</v>
      </c>
      <c r="D10" t="s">
        <v>30</v>
      </c>
      <c r="E10" t="s">
        <v>12</v>
      </c>
      <c r="F10">
        <v>250</v>
      </c>
      <c r="G10" s="2">
        <v>184</v>
      </c>
      <c r="H10" s="2">
        <f t="shared" si="0"/>
        <v>202.4</v>
      </c>
    </row>
    <row r="11" spans="1:8" x14ac:dyDescent="0.3">
      <c r="B11" t="s">
        <v>72</v>
      </c>
      <c r="C11" t="s">
        <v>18</v>
      </c>
      <c r="D11" t="s">
        <v>73</v>
      </c>
      <c r="E11" t="s">
        <v>12</v>
      </c>
      <c r="F11">
        <v>250</v>
      </c>
      <c r="G11" s="2">
        <v>195</v>
      </c>
      <c r="H11" s="2">
        <f t="shared" si="0"/>
        <v>214.5</v>
      </c>
    </row>
    <row r="12" spans="1:8" x14ac:dyDescent="0.3">
      <c r="B12" t="s">
        <v>38</v>
      </c>
      <c r="C12" t="s">
        <v>17</v>
      </c>
      <c r="D12" t="s">
        <v>28</v>
      </c>
      <c r="E12" t="s">
        <v>39</v>
      </c>
      <c r="F12">
        <v>100</v>
      </c>
      <c r="G12" s="2">
        <v>80</v>
      </c>
      <c r="H12" s="2">
        <f t="shared" si="0"/>
        <v>88</v>
      </c>
    </row>
    <row r="13" spans="1:8" x14ac:dyDescent="0.3">
      <c r="B13" t="s">
        <v>115</v>
      </c>
      <c r="C13" t="s">
        <v>18</v>
      </c>
      <c r="D13" t="s">
        <v>24</v>
      </c>
      <c r="E13" t="s">
        <v>39</v>
      </c>
      <c r="F13">
        <v>30</v>
      </c>
      <c r="G13" s="2">
        <v>90</v>
      </c>
      <c r="H13" s="2">
        <f t="shared" si="0"/>
        <v>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B032-C240-445C-821A-85FAE3C3D887}">
  <sheetPr>
    <tabColor theme="4" tint="0.39997558519241921"/>
  </sheetPr>
  <dimension ref="A1:J16"/>
  <sheetViews>
    <sheetView showGridLines="0" zoomScale="80" zoomScaleNormal="80" workbookViewId="0">
      <selection activeCell="C3" sqref="C3"/>
    </sheetView>
  </sheetViews>
  <sheetFormatPr defaultRowHeight="15.75" x14ac:dyDescent="0.3"/>
  <cols>
    <col min="2" max="2" width="14.44140625" customWidth="1"/>
    <col min="3" max="3" width="23.77734375" customWidth="1"/>
    <col min="5" max="6" width="13.109375" bestFit="1" customWidth="1"/>
    <col min="7" max="8" width="16.77734375" bestFit="1" customWidth="1"/>
    <col min="9" max="9" width="12.88671875" bestFit="1" customWidth="1"/>
    <col min="10" max="10" width="19.44140625" bestFit="1" customWidth="1"/>
  </cols>
  <sheetData>
    <row r="1" spans="1:10" s="29" customFormat="1" x14ac:dyDescent="0.3">
      <c r="A1" s="30" t="s">
        <v>127</v>
      </c>
      <c r="C1" s="30"/>
    </row>
    <row r="5" spans="1:10" s="35" customFormat="1" ht="33" x14ac:dyDescent="0.3">
      <c r="B5" s="35" t="s">
        <v>142</v>
      </c>
      <c r="C5" s="35" t="s">
        <v>143</v>
      </c>
      <c r="D5" s="35" t="s">
        <v>60</v>
      </c>
      <c r="E5" s="35" t="s">
        <v>61</v>
      </c>
      <c r="F5" s="35" t="s">
        <v>62</v>
      </c>
      <c r="G5" s="35" t="s">
        <v>128</v>
      </c>
      <c r="H5" s="35" t="s">
        <v>52</v>
      </c>
      <c r="I5" s="35" t="s">
        <v>64</v>
      </c>
      <c r="J5" s="35" t="s">
        <v>129</v>
      </c>
    </row>
    <row r="6" spans="1:10" x14ac:dyDescent="0.3">
      <c r="B6" s="31">
        <v>44879</v>
      </c>
      <c r="C6" t="s">
        <v>130</v>
      </c>
      <c r="D6" t="s">
        <v>17</v>
      </c>
      <c r="E6" t="s">
        <v>21</v>
      </c>
      <c r="F6" t="s">
        <v>74</v>
      </c>
      <c r="G6" t="s">
        <v>132</v>
      </c>
      <c r="H6">
        <v>30</v>
      </c>
      <c r="I6" s="32">
        <v>130</v>
      </c>
      <c r="J6" s="32">
        <f>H6*I6</f>
        <v>3900</v>
      </c>
    </row>
    <row r="7" spans="1:10" x14ac:dyDescent="0.3">
      <c r="B7" s="31">
        <v>44879</v>
      </c>
      <c r="C7" t="s">
        <v>130</v>
      </c>
      <c r="D7" t="s">
        <v>18</v>
      </c>
      <c r="E7" t="s">
        <v>27</v>
      </c>
      <c r="F7" t="s">
        <v>10</v>
      </c>
      <c r="G7" t="s">
        <v>78</v>
      </c>
      <c r="H7">
        <v>100</v>
      </c>
      <c r="I7" s="32">
        <v>165</v>
      </c>
      <c r="J7" s="32">
        <f t="shared" ref="J7:J16" si="0">H7*I7</f>
        <v>16500</v>
      </c>
    </row>
    <row r="8" spans="1:10" x14ac:dyDescent="0.3">
      <c r="B8" s="31">
        <v>44879</v>
      </c>
      <c r="C8" t="s">
        <v>130</v>
      </c>
      <c r="D8" t="s">
        <v>17</v>
      </c>
      <c r="E8" t="s">
        <v>30</v>
      </c>
      <c r="F8" t="s">
        <v>12</v>
      </c>
      <c r="G8" t="s">
        <v>78</v>
      </c>
      <c r="H8">
        <v>30</v>
      </c>
      <c r="I8" s="32">
        <v>184</v>
      </c>
      <c r="J8" s="32">
        <f t="shared" si="0"/>
        <v>5520</v>
      </c>
    </row>
    <row r="9" spans="1:10" x14ac:dyDescent="0.3">
      <c r="B9" s="31">
        <v>44879</v>
      </c>
      <c r="C9" t="s">
        <v>130</v>
      </c>
      <c r="D9" t="s">
        <v>17</v>
      </c>
      <c r="E9" t="s">
        <v>36</v>
      </c>
      <c r="F9" t="s">
        <v>16</v>
      </c>
      <c r="G9" t="s">
        <v>132</v>
      </c>
      <c r="H9">
        <v>200</v>
      </c>
      <c r="I9" s="32">
        <v>340</v>
      </c>
      <c r="J9" s="32">
        <f t="shared" si="0"/>
        <v>68000</v>
      </c>
    </row>
    <row r="10" spans="1:10" x14ac:dyDescent="0.3">
      <c r="B10" s="31">
        <v>44880</v>
      </c>
      <c r="C10" t="s">
        <v>130</v>
      </c>
      <c r="D10" t="s">
        <v>18</v>
      </c>
      <c r="E10" t="s">
        <v>29</v>
      </c>
      <c r="F10" t="s">
        <v>11</v>
      </c>
      <c r="G10" t="s">
        <v>133</v>
      </c>
      <c r="H10">
        <v>150</v>
      </c>
      <c r="I10" s="32">
        <v>230</v>
      </c>
      <c r="J10" s="32">
        <f t="shared" si="0"/>
        <v>34500</v>
      </c>
    </row>
    <row r="11" spans="1:10" x14ac:dyDescent="0.3">
      <c r="B11" s="31">
        <v>44880</v>
      </c>
      <c r="C11" t="s">
        <v>38</v>
      </c>
      <c r="D11" t="s">
        <v>17</v>
      </c>
      <c r="E11" t="s">
        <v>28</v>
      </c>
      <c r="F11" t="s">
        <v>131</v>
      </c>
      <c r="G11" t="s">
        <v>132</v>
      </c>
      <c r="H11">
        <v>40</v>
      </c>
      <c r="I11" s="32">
        <v>80</v>
      </c>
      <c r="J11" s="32">
        <f t="shared" si="0"/>
        <v>3200</v>
      </c>
    </row>
    <row r="12" spans="1:10" x14ac:dyDescent="0.3">
      <c r="B12" s="31">
        <v>44880</v>
      </c>
      <c r="C12" t="s">
        <v>130</v>
      </c>
      <c r="D12" t="s">
        <v>18</v>
      </c>
      <c r="E12" t="s">
        <v>34</v>
      </c>
      <c r="F12" t="s">
        <v>14</v>
      </c>
      <c r="G12" t="s">
        <v>133</v>
      </c>
      <c r="H12">
        <v>200</v>
      </c>
      <c r="I12" s="32">
        <v>185</v>
      </c>
      <c r="J12" s="32">
        <f t="shared" si="0"/>
        <v>37000</v>
      </c>
    </row>
    <row r="13" spans="1:10" x14ac:dyDescent="0.3">
      <c r="B13" s="31">
        <v>44881</v>
      </c>
      <c r="C13" t="s">
        <v>130</v>
      </c>
      <c r="D13" t="s">
        <v>17</v>
      </c>
      <c r="E13" t="s">
        <v>21</v>
      </c>
      <c r="F13" t="s">
        <v>74</v>
      </c>
      <c r="G13" t="s">
        <v>78</v>
      </c>
      <c r="H13">
        <v>20</v>
      </c>
      <c r="I13" s="32">
        <v>130</v>
      </c>
      <c r="J13" s="32">
        <f t="shared" si="0"/>
        <v>2600</v>
      </c>
    </row>
    <row r="14" spans="1:10" x14ac:dyDescent="0.3">
      <c r="B14" s="31">
        <v>44881</v>
      </c>
      <c r="C14" t="s">
        <v>130</v>
      </c>
      <c r="D14" t="s">
        <v>17</v>
      </c>
      <c r="E14" t="s">
        <v>21</v>
      </c>
      <c r="F14" t="s">
        <v>74</v>
      </c>
      <c r="G14" t="s">
        <v>133</v>
      </c>
      <c r="H14">
        <v>10</v>
      </c>
      <c r="I14" s="32">
        <v>130</v>
      </c>
      <c r="J14" s="32">
        <f t="shared" si="0"/>
        <v>1300</v>
      </c>
    </row>
    <row r="15" spans="1:10" x14ac:dyDescent="0.3">
      <c r="B15" s="31">
        <v>44881</v>
      </c>
      <c r="C15" t="s">
        <v>130</v>
      </c>
      <c r="D15" t="s">
        <v>17</v>
      </c>
      <c r="E15" t="s">
        <v>30</v>
      </c>
      <c r="F15" t="s">
        <v>12</v>
      </c>
      <c r="G15" t="s">
        <v>132</v>
      </c>
      <c r="H15">
        <v>20</v>
      </c>
      <c r="I15" s="32">
        <v>184</v>
      </c>
      <c r="J15" s="32">
        <f t="shared" si="0"/>
        <v>3680</v>
      </c>
    </row>
    <row r="16" spans="1:10" x14ac:dyDescent="0.3">
      <c r="B16" s="31">
        <v>44882</v>
      </c>
      <c r="C16" t="s">
        <v>38</v>
      </c>
      <c r="D16" t="s">
        <v>17</v>
      </c>
      <c r="E16" t="s">
        <v>28</v>
      </c>
      <c r="F16" t="s">
        <v>131</v>
      </c>
      <c r="G16" t="s">
        <v>133</v>
      </c>
      <c r="H16">
        <v>5</v>
      </c>
      <c r="I16" s="32">
        <v>80</v>
      </c>
      <c r="J16" s="32">
        <f t="shared" si="0"/>
        <v>400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03B3-EEB9-4F51-A2C0-8B448D67E5FE}">
  <sheetPr>
    <tabColor theme="3" tint="0.499984740745262"/>
  </sheetPr>
  <dimension ref="A1:N8"/>
  <sheetViews>
    <sheetView showGridLines="0" zoomScale="90" zoomScaleNormal="90" workbookViewId="0"/>
  </sheetViews>
  <sheetFormatPr defaultRowHeight="15.75" x14ac:dyDescent="0.3"/>
  <cols>
    <col min="2" max="2" width="18" customWidth="1"/>
    <col min="3" max="3" width="11.77734375" customWidth="1"/>
    <col min="4" max="4" width="10.33203125" customWidth="1"/>
    <col min="7" max="7" width="13.44140625" bestFit="1" customWidth="1"/>
    <col min="8" max="8" width="15.88671875" customWidth="1"/>
    <col min="9" max="9" width="17.6640625" customWidth="1"/>
    <col min="10" max="10" width="18" customWidth="1"/>
    <col min="11" max="11" width="16.109375" customWidth="1"/>
    <col min="12" max="12" width="15.44140625" customWidth="1"/>
    <col min="13" max="13" width="17.21875" customWidth="1"/>
    <col min="14" max="14" width="16.88671875" customWidth="1"/>
  </cols>
  <sheetData>
    <row r="1" spans="1:14" s="33" customFormat="1" ht="19.5" x14ac:dyDescent="0.35">
      <c r="A1" s="34" t="s">
        <v>134</v>
      </c>
    </row>
    <row r="5" spans="1:14" s="35" customFormat="1" ht="50.25" customHeight="1" x14ac:dyDescent="0.3">
      <c r="B5" s="35" t="s">
        <v>135</v>
      </c>
      <c r="C5" s="36" t="s">
        <v>143</v>
      </c>
      <c r="D5" s="35" t="s">
        <v>60</v>
      </c>
      <c r="E5" s="36" t="s">
        <v>61</v>
      </c>
      <c r="F5" s="35" t="s">
        <v>62</v>
      </c>
      <c r="G5" s="35" t="s">
        <v>70</v>
      </c>
      <c r="H5" s="35" t="s">
        <v>52</v>
      </c>
      <c r="I5" s="35" t="s">
        <v>136</v>
      </c>
      <c r="J5" s="35" t="s">
        <v>137</v>
      </c>
      <c r="K5" s="35" t="s">
        <v>139</v>
      </c>
      <c r="L5" s="35" t="s">
        <v>140</v>
      </c>
      <c r="M5" s="35" t="s">
        <v>58</v>
      </c>
      <c r="N5" s="35" t="s">
        <v>141</v>
      </c>
    </row>
    <row r="6" spans="1:14" x14ac:dyDescent="0.3">
      <c r="B6" s="31">
        <v>44887</v>
      </c>
      <c r="C6" t="s">
        <v>130</v>
      </c>
      <c r="D6" t="s">
        <v>17</v>
      </c>
      <c r="E6" t="s">
        <v>21</v>
      </c>
      <c r="F6" t="s">
        <v>74</v>
      </c>
      <c r="G6" t="s">
        <v>100</v>
      </c>
      <c r="H6">
        <v>10</v>
      </c>
      <c r="I6">
        <v>0</v>
      </c>
      <c r="K6">
        <v>10</v>
      </c>
      <c r="L6">
        <f>'Aula 8 - Entradas'!H6-'Aula 12 - Saídas'!K6</f>
        <v>20</v>
      </c>
      <c r="M6" s="2">
        <v>143</v>
      </c>
      <c r="N6" s="2">
        <f>K6*M6</f>
        <v>1430</v>
      </c>
    </row>
    <row r="7" spans="1:14" x14ac:dyDescent="0.3">
      <c r="B7" s="31">
        <v>44887</v>
      </c>
      <c r="C7" t="s">
        <v>130</v>
      </c>
      <c r="D7" t="s">
        <v>18</v>
      </c>
      <c r="E7" t="s">
        <v>29</v>
      </c>
      <c r="F7" t="s">
        <v>11</v>
      </c>
      <c r="G7" t="s">
        <v>138</v>
      </c>
      <c r="H7">
        <v>5</v>
      </c>
      <c r="I7">
        <v>1</v>
      </c>
      <c r="J7" s="31">
        <v>44889</v>
      </c>
      <c r="K7">
        <v>4</v>
      </c>
      <c r="L7">
        <f>'Aula 8 - Entradas'!H10-'Aula 12 - Saídas'!K7</f>
        <v>146</v>
      </c>
      <c r="M7" s="2">
        <v>253</v>
      </c>
      <c r="N7" s="2">
        <f>K7*M7</f>
        <v>1012</v>
      </c>
    </row>
    <row r="8" spans="1:14" x14ac:dyDescent="0.3">
      <c r="J8" s="3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1086-E3BE-4C94-8502-0DC31C96DE22}">
  <sheetPr>
    <tabColor rgb="FF0000FF"/>
  </sheetPr>
  <dimension ref="A1:M15"/>
  <sheetViews>
    <sheetView topLeftCell="G1" zoomScaleNormal="100" workbookViewId="0">
      <selection activeCell="J8" sqref="J8"/>
    </sheetView>
  </sheetViews>
  <sheetFormatPr defaultRowHeight="15.75" x14ac:dyDescent="0.3"/>
  <cols>
    <col min="2" max="2" width="9.77734375" customWidth="1"/>
    <col min="5" max="5" width="13.109375" bestFit="1" customWidth="1"/>
    <col min="6" max="6" width="10.77734375" customWidth="1"/>
    <col min="13" max="13" width="15.5546875" customWidth="1"/>
  </cols>
  <sheetData>
    <row r="1" spans="1:13" s="59" customFormat="1" ht="19.5" x14ac:dyDescent="0.35">
      <c r="A1" s="59" t="s">
        <v>180</v>
      </c>
    </row>
    <row r="3" spans="1:13" s="41" customFormat="1" ht="36.75" customHeight="1" x14ac:dyDescent="0.3">
      <c r="A3" s="60"/>
      <c r="B3" s="41" t="s">
        <v>143</v>
      </c>
      <c r="C3" s="41" t="s">
        <v>62</v>
      </c>
      <c r="D3" s="41" t="s">
        <v>60</v>
      </c>
      <c r="E3" s="41" t="s">
        <v>61</v>
      </c>
      <c r="F3" s="41" t="s">
        <v>181</v>
      </c>
      <c r="G3" s="41" t="s">
        <v>182</v>
      </c>
      <c r="H3" s="41" t="s">
        <v>183</v>
      </c>
      <c r="I3" s="41" t="s">
        <v>63</v>
      </c>
      <c r="J3" s="41" t="s">
        <v>184</v>
      </c>
      <c r="K3" s="41" t="s">
        <v>185</v>
      </c>
      <c r="L3" s="41" t="s">
        <v>186</v>
      </c>
      <c r="M3" s="41" t="s">
        <v>187</v>
      </c>
    </row>
    <row r="4" spans="1:13" x14ac:dyDescent="0.3">
      <c r="B4" t="s">
        <v>72</v>
      </c>
      <c r="C4" t="s">
        <v>11</v>
      </c>
      <c r="D4" t="s">
        <v>17</v>
      </c>
      <c r="E4" t="s">
        <v>28</v>
      </c>
      <c r="F4">
        <f>SUMIF('Aula 12 - Entradas'!$E$6:$E$16,'Aula 12 - Controle de Estoque'!E4,'Aula 12 - Entradas'!$H$6:$H$16)</f>
        <v>45</v>
      </c>
      <c r="G4">
        <f>SUMIF('Aula 12 - Saídas'!$E$6:$E$7,'Aula 12 - Controle de Estoque'!E4,'Aula 12 - Saídas'!$K$6:$K$7)</f>
        <v>0</v>
      </c>
      <c r="H4">
        <f>F4-G4</f>
        <v>45</v>
      </c>
      <c r="I4">
        <v>20</v>
      </c>
    </row>
    <row r="5" spans="1:13" x14ac:dyDescent="0.3">
      <c r="B5" t="s">
        <v>72</v>
      </c>
      <c r="C5" t="s">
        <v>11</v>
      </c>
      <c r="D5" t="s">
        <v>18</v>
      </c>
      <c r="E5" t="s">
        <v>29</v>
      </c>
      <c r="F5">
        <f>SUMIF('Aula 12 - Entradas'!$E$6:$E$16,'Aula 12 - Controle de Estoque'!E5,'Aula 12 - Entradas'!$H$6:$H$16)</f>
        <v>150</v>
      </c>
      <c r="G5">
        <f>SUMIF('Aula 12 - Saídas'!$E$6:$E$7,'Aula 12 - Controle de Estoque'!E5,'Aula 12 - Saídas'!$K$6:$K$7)</f>
        <v>4</v>
      </c>
      <c r="H5">
        <f t="shared" ref="H5:H11" si="0">F5-G5</f>
        <v>146</v>
      </c>
      <c r="I5">
        <v>50</v>
      </c>
    </row>
    <row r="6" spans="1:13" x14ac:dyDescent="0.3">
      <c r="B6" t="s">
        <v>72</v>
      </c>
      <c r="C6" t="s">
        <v>74</v>
      </c>
      <c r="D6" t="s">
        <v>17</v>
      </c>
      <c r="E6" t="s">
        <v>21</v>
      </c>
      <c r="F6">
        <f>SUMIF('Aula 12 - Entradas'!$E$6:$E$16,'Aula 12 - Controle de Estoque'!E6,'Aula 12 - Entradas'!$H$6:$H$16)</f>
        <v>60</v>
      </c>
      <c r="G6">
        <f>SUMIF('Aula 12 - Saídas'!$E$6:$E$7,'Aula 12 - Controle de Estoque'!E6,'Aula 12 - Saídas'!$K$6:$K$7)</f>
        <v>10</v>
      </c>
      <c r="H6">
        <f t="shared" si="0"/>
        <v>50</v>
      </c>
      <c r="I6">
        <v>100</v>
      </c>
    </row>
    <row r="7" spans="1:13" x14ac:dyDescent="0.3">
      <c r="B7" t="s">
        <v>72</v>
      </c>
      <c r="C7" t="s">
        <v>75</v>
      </c>
      <c r="D7" t="s">
        <v>18</v>
      </c>
      <c r="E7" t="s">
        <v>22</v>
      </c>
      <c r="F7">
        <f>SUMIF('Aula 12 - Entradas'!$E$6:$E$16,'Aula 12 - Controle de Estoque'!E7,'Aula 12 - Entradas'!$H$6:$H$16)</f>
        <v>0</v>
      </c>
      <c r="G7">
        <f>SUMIF('Aula 12 - Saídas'!$E$6:$E$7,'Aula 12 - Controle de Estoque'!E7,'Aula 12 - Saídas'!$K$6:$K$7)</f>
        <v>0</v>
      </c>
      <c r="H7">
        <f t="shared" si="0"/>
        <v>0</v>
      </c>
      <c r="I7">
        <v>150</v>
      </c>
    </row>
    <row r="8" spans="1:13" x14ac:dyDescent="0.3">
      <c r="B8" t="s">
        <v>72</v>
      </c>
      <c r="C8" t="s">
        <v>12</v>
      </c>
      <c r="D8" t="s">
        <v>17</v>
      </c>
      <c r="E8" t="s">
        <v>30</v>
      </c>
      <c r="F8">
        <f>SUMIF('Aula 12 - Entradas'!$E$6:$E$16,'Aula 12 - Controle de Estoque'!E8,'Aula 12 - Entradas'!$H$6:$H$16)</f>
        <v>50</v>
      </c>
      <c r="G8">
        <f>SUMIF('Aula 12 - Saídas'!$E$6:$E$7,'Aula 12 - Controle de Estoque'!E8,'Aula 12 - Saídas'!$K$6:$K$7)</f>
        <v>0</v>
      </c>
      <c r="H8">
        <f t="shared" si="0"/>
        <v>50</v>
      </c>
      <c r="I8">
        <v>250</v>
      </c>
    </row>
    <row r="9" spans="1:13" x14ac:dyDescent="0.3">
      <c r="B9" t="s">
        <v>72</v>
      </c>
      <c r="C9" t="s">
        <v>12</v>
      </c>
      <c r="D9" t="s">
        <v>18</v>
      </c>
      <c r="E9" t="s">
        <v>73</v>
      </c>
      <c r="F9">
        <f>SUMIF('Aula 12 - Entradas'!$E$6:$E$16,'Aula 12 - Controle de Estoque'!E9,'Aula 12 - Entradas'!$H$6:$H$16)</f>
        <v>0</v>
      </c>
      <c r="G9">
        <f>SUMIF('Aula 12 - Saídas'!$E$6:$E$7,'Aula 12 - Controle de Estoque'!E9,'Aula 12 - Saídas'!$K$6:$K$7)</f>
        <v>0</v>
      </c>
      <c r="H9">
        <f t="shared" si="0"/>
        <v>0</v>
      </c>
      <c r="I9">
        <v>250</v>
      </c>
    </row>
    <row r="10" spans="1:13" x14ac:dyDescent="0.3">
      <c r="B10" t="s">
        <v>38</v>
      </c>
      <c r="C10" t="s">
        <v>39</v>
      </c>
      <c r="D10" t="s">
        <v>17</v>
      </c>
      <c r="E10" t="s">
        <v>28</v>
      </c>
      <c r="F10">
        <f>SUMIF('Aula 12 - Entradas'!$E$6:$E$16,'Aula 12 - Controle de Estoque'!E10,'Aula 12 - Entradas'!$H$6:$H$16)</f>
        <v>45</v>
      </c>
      <c r="G10">
        <f>SUMIF('Aula 12 - Saídas'!$E$6:$E$7,'Aula 12 - Controle de Estoque'!E10,'Aula 12 - Saídas'!$K$6:$K$7)</f>
        <v>0</v>
      </c>
      <c r="H10">
        <f t="shared" si="0"/>
        <v>45</v>
      </c>
      <c r="I10">
        <v>100</v>
      </c>
    </row>
    <row r="11" spans="1:13" x14ac:dyDescent="0.3">
      <c r="B11" t="s">
        <v>115</v>
      </c>
      <c r="C11" t="s">
        <v>39</v>
      </c>
      <c r="D11" t="s">
        <v>18</v>
      </c>
      <c r="E11" t="s">
        <v>24</v>
      </c>
      <c r="F11">
        <f>SUMIF('Aula 12 - Entradas'!$E$6:$E$16,'Aula 12 - Controle de Estoque'!E11,'Aula 12 - Entradas'!$H$6:$H$16)</f>
        <v>0</v>
      </c>
      <c r="G11">
        <f>SUMIF('Aula 12 - Saídas'!$E$6:$E$7,'Aula 12 - Controle de Estoque'!E11,'Aula 12 - Saídas'!$K$6:$K$7)</f>
        <v>0</v>
      </c>
      <c r="H11">
        <f t="shared" si="0"/>
        <v>0</v>
      </c>
      <c r="I11">
        <v>30</v>
      </c>
    </row>
    <row r="15" spans="1:13" ht="16.5" x14ac:dyDescent="0.3">
      <c r="B15" s="60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2C31-E1F2-456A-9245-742EF0D0FD68}">
  <sheetPr>
    <tabColor rgb="FF00B050"/>
  </sheetPr>
  <dimension ref="A1:M16"/>
  <sheetViews>
    <sheetView zoomScaleNormal="100" workbookViewId="0"/>
  </sheetViews>
  <sheetFormatPr defaultRowHeight="15.75" x14ac:dyDescent="0.3"/>
  <cols>
    <col min="2" max="2" width="9.77734375" customWidth="1"/>
    <col min="5" max="5" width="13.109375" bestFit="1" customWidth="1"/>
    <col min="6" max="6" width="10.77734375" customWidth="1"/>
    <col min="10" max="10" width="15.5546875" bestFit="1" customWidth="1"/>
    <col min="11" max="11" width="11.21875" bestFit="1" customWidth="1"/>
    <col min="12" max="12" width="12.21875" bestFit="1" customWidth="1"/>
    <col min="13" max="13" width="15.5546875" customWidth="1"/>
  </cols>
  <sheetData>
    <row r="1" spans="1:13" s="59" customFormat="1" ht="19.5" x14ac:dyDescent="0.35">
      <c r="A1" s="59" t="s">
        <v>180</v>
      </c>
    </row>
    <row r="2" spans="1:13" s="61" customFormat="1" ht="19.5" x14ac:dyDescent="0.35"/>
    <row r="4" spans="1:13" s="41" customFormat="1" ht="36.75" customHeight="1" x14ac:dyDescent="0.3">
      <c r="A4" s="60"/>
      <c r="B4" s="41" t="s">
        <v>143</v>
      </c>
      <c r="C4" s="41" t="s">
        <v>62</v>
      </c>
      <c r="D4" s="41" t="s">
        <v>60</v>
      </c>
      <c r="E4" s="41" t="s">
        <v>61</v>
      </c>
      <c r="F4" s="41" t="s">
        <v>181</v>
      </c>
      <c r="G4" s="41" t="s">
        <v>182</v>
      </c>
      <c r="H4" s="41" t="s">
        <v>183</v>
      </c>
      <c r="I4" s="41" t="s">
        <v>63</v>
      </c>
      <c r="J4" s="41" t="s">
        <v>184</v>
      </c>
      <c r="K4" s="41" t="s">
        <v>185</v>
      </c>
      <c r="L4" s="41" t="s">
        <v>186</v>
      </c>
      <c r="M4" s="41" t="s">
        <v>187</v>
      </c>
    </row>
    <row r="5" spans="1:13" x14ac:dyDescent="0.3">
      <c r="B5" t="s">
        <v>72</v>
      </c>
      <c r="C5" t="s">
        <v>11</v>
      </c>
      <c r="D5" t="s">
        <v>17</v>
      </c>
      <c r="E5" t="s">
        <v>28</v>
      </c>
      <c r="F5">
        <f>SUMIF('Aula 12 - Entradas'!$E$6:$E$16,'Aula 13 - Controle de Estoque'!E5,'Aula 12 - Entradas'!$H$6:$H$16)</f>
        <v>45</v>
      </c>
      <c r="G5">
        <f>SUMIF('Aula 12 - Saídas'!$E$6:$E$7,'Aula 13 - Controle de Estoque'!E5,'Aula 12 - Saídas'!$K$6:$K$7)</f>
        <v>0</v>
      </c>
      <c r="H5">
        <f>F5-G5</f>
        <v>45</v>
      </c>
      <c r="I5">
        <v>20</v>
      </c>
      <c r="J5" t="str">
        <f>IF(H5=I5,"Sem Estoque",IF(H5&lt;I5,"Estoque Perigoso","Estoque Confortável"))</f>
        <v>Estoque Confortável</v>
      </c>
      <c r="K5" s="62">
        <f>SUMIF('Aula 12 - Saídas'!$E$6:$E$7,'Aula 13 - Controle de Estoque'!E5,'Aula 12 - Saídas'!$N$6:$N$7)</f>
        <v>0</v>
      </c>
      <c r="L5" s="2">
        <f>SUMIF('Aula 12 - Entradas'!$E$6:$E$16,'Aula 13 - Controle de Estoque'!E5,'Aula 12 - Entradas'!$J$6:$J$16)</f>
        <v>3600</v>
      </c>
      <c r="M5" s="63">
        <f>K5-L5</f>
        <v>-3600</v>
      </c>
    </row>
    <row r="6" spans="1:13" x14ac:dyDescent="0.3">
      <c r="B6" t="s">
        <v>72</v>
      </c>
      <c r="C6" t="s">
        <v>11</v>
      </c>
      <c r="D6" t="s">
        <v>18</v>
      </c>
      <c r="E6" t="s">
        <v>29</v>
      </c>
      <c r="F6">
        <f>SUMIF('Aula 12 - Entradas'!$E$6:$E$16,'Aula 13 - Controle de Estoque'!E6,'Aula 12 - Entradas'!$H$6:$H$16)</f>
        <v>150</v>
      </c>
      <c r="G6">
        <f>SUMIF('Aula 12 - Saídas'!$E$6:$E$7,'Aula 13 - Controle de Estoque'!E6,'Aula 12 - Saídas'!$K$6:$K$7)</f>
        <v>4</v>
      </c>
      <c r="H6">
        <f t="shared" ref="H6:H12" si="0">F6-G6</f>
        <v>146</v>
      </c>
      <c r="I6">
        <v>50</v>
      </c>
      <c r="J6" t="str">
        <f t="shared" ref="J6:J12" si="1">IF(H6=I6,"Sem Estoque",IF(H6&lt;I6,"Estoque Perigoso","Estoque Confortável"))</f>
        <v>Estoque Confortável</v>
      </c>
      <c r="K6" s="62">
        <f>SUMIF('Aula 12 - Saídas'!$E$6:$E$7,'Aula 13 - Controle de Estoque'!E6,'Aula 12 - Saídas'!$N$6:$N$7)</f>
        <v>1012</v>
      </c>
      <c r="L6" s="2">
        <f>SUMIF('Aula 12 - Entradas'!$E$6:$E$16,'Aula 13 - Controle de Estoque'!E6,'Aula 12 - Entradas'!$J$6:$J$16)</f>
        <v>34500</v>
      </c>
      <c r="M6" s="63">
        <f t="shared" ref="M6:M12" si="2">K6-L6</f>
        <v>-33488</v>
      </c>
    </row>
    <row r="7" spans="1:13" x14ac:dyDescent="0.3">
      <c r="B7" t="s">
        <v>72</v>
      </c>
      <c r="C7" t="s">
        <v>74</v>
      </c>
      <c r="D7" t="s">
        <v>17</v>
      </c>
      <c r="E7" t="s">
        <v>21</v>
      </c>
      <c r="F7">
        <f>SUMIF('Aula 12 - Entradas'!$E$6:$E$16,'Aula 13 - Controle de Estoque'!E7,'Aula 12 - Entradas'!$H$6:$H$16)</f>
        <v>60</v>
      </c>
      <c r="G7">
        <f>SUMIF('Aula 12 - Saídas'!$E$6:$E$7,'Aula 13 - Controle de Estoque'!E7,'Aula 12 - Saídas'!$K$6:$K$7)</f>
        <v>10</v>
      </c>
      <c r="H7">
        <f t="shared" si="0"/>
        <v>50</v>
      </c>
      <c r="I7">
        <v>100</v>
      </c>
      <c r="J7" t="str">
        <f t="shared" si="1"/>
        <v>Estoque Perigoso</v>
      </c>
      <c r="K7" s="62">
        <f>SUMIF('Aula 12 - Saídas'!$E$6:$E$7,'Aula 13 - Controle de Estoque'!E7,'Aula 12 - Saídas'!$N$6:$N$7)</f>
        <v>1430</v>
      </c>
      <c r="L7" s="2">
        <f>SUMIF('Aula 12 - Entradas'!$E$6:$E$16,'Aula 13 - Controle de Estoque'!E7,'Aula 12 - Entradas'!$J$6:$J$16)</f>
        <v>7800</v>
      </c>
      <c r="M7" s="63">
        <f t="shared" si="2"/>
        <v>-6370</v>
      </c>
    </row>
    <row r="8" spans="1:13" x14ac:dyDescent="0.3">
      <c r="B8" t="s">
        <v>72</v>
      </c>
      <c r="C8" t="s">
        <v>75</v>
      </c>
      <c r="D8" t="s">
        <v>18</v>
      </c>
      <c r="E8" t="s">
        <v>22</v>
      </c>
      <c r="F8">
        <f>SUMIF('Aula 12 - Entradas'!$E$6:$E$16,'Aula 13 - Controle de Estoque'!E8,'Aula 12 - Entradas'!$H$6:$H$16)</f>
        <v>0</v>
      </c>
      <c r="G8">
        <f>SUMIF('Aula 12 - Saídas'!$E$6:$E$7,'Aula 13 - Controle de Estoque'!E8,'Aula 12 - Saídas'!$K$6:$K$7)</f>
        <v>0</v>
      </c>
      <c r="H8">
        <f t="shared" si="0"/>
        <v>0</v>
      </c>
      <c r="I8">
        <v>150</v>
      </c>
      <c r="J8" t="str">
        <f t="shared" si="1"/>
        <v>Estoque Perigoso</v>
      </c>
      <c r="K8" s="62">
        <f>SUMIF('Aula 12 - Saídas'!$E$6:$E$7,'Aula 13 - Controle de Estoque'!E8,'Aula 12 - Saídas'!$N$6:$N$7)</f>
        <v>0</v>
      </c>
      <c r="L8" s="2">
        <f>SUMIF('Aula 12 - Entradas'!$E$6:$E$16,'Aula 13 - Controle de Estoque'!E8,'Aula 12 - Entradas'!$J$6:$J$16)</f>
        <v>0</v>
      </c>
      <c r="M8" s="63">
        <f t="shared" si="2"/>
        <v>0</v>
      </c>
    </row>
    <row r="9" spans="1:13" x14ac:dyDescent="0.3">
      <c r="B9" t="s">
        <v>72</v>
      </c>
      <c r="C9" t="s">
        <v>12</v>
      </c>
      <c r="D9" t="s">
        <v>17</v>
      </c>
      <c r="E9" t="s">
        <v>30</v>
      </c>
      <c r="F9">
        <f>SUMIF('Aula 12 - Entradas'!$E$6:$E$16,'Aula 13 - Controle de Estoque'!E9,'Aula 12 - Entradas'!$H$6:$H$16)</f>
        <v>50</v>
      </c>
      <c r="G9">
        <f>SUMIF('Aula 12 - Saídas'!$E$6:$E$7,'Aula 13 - Controle de Estoque'!E9,'Aula 12 - Saídas'!$K$6:$K$7)</f>
        <v>0</v>
      </c>
      <c r="H9">
        <f t="shared" si="0"/>
        <v>50</v>
      </c>
      <c r="I9">
        <v>250</v>
      </c>
      <c r="J9" t="str">
        <f t="shared" si="1"/>
        <v>Estoque Perigoso</v>
      </c>
      <c r="K9" s="62">
        <f>SUMIF('Aula 12 - Saídas'!$E$6:$E$7,'Aula 13 - Controle de Estoque'!E9,'Aula 12 - Saídas'!$N$6:$N$7)</f>
        <v>0</v>
      </c>
      <c r="L9" s="2">
        <f>SUMIF('Aula 12 - Entradas'!$E$6:$E$16,'Aula 13 - Controle de Estoque'!E9,'Aula 12 - Entradas'!$J$6:$J$16)</f>
        <v>9200</v>
      </c>
      <c r="M9" s="63">
        <f t="shared" si="2"/>
        <v>-9200</v>
      </c>
    </row>
    <row r="10" spans="1:13" x14ac:dyDescent="0.3">
      <c r="B10" t="s">
        <v>72</v>
      </c>
      <c r="C10" t="s">
        <v>12</v>
      </c>
      <c r="D10" t="s">
        <v>18</v>
      </c>
      <c r="E10" t="s">
        <v>73</v>
      </c>
      <c r="F10">
        <f>SUMIF('Aula 12 - Entradas'!$E$6:$E$16,'Aula 13 - Controle de Estoque'!E10,'Aula 12 - Entradas'!$H$6:$H$16)</f>
        <v>0</v>
      </c>
      <c r="G10">
        <f>SUMIF('Aula 12 - Saídas'!$E$6:$E$7,'Aula 13 - Controle de Estoque'!E10,'Aula 12 - Saídas'!$K$6:$K$7)</f>
        <v>0</v>
      </c>
      <c r="H10">
        <f t="shared" si="0"/>
        <v>0</v>
      </c>
      <c r="I10">
        <v>250</v>
      </c>
      <c r="J10" t="str">
        <f t="shared" si="1"/>
        <v>Estoque Perigoso</v>
      </c>
      <c r="K10" s="62">
        <f>SUMIF('Aula 12 - Saídas'!$E$6:$E$7,'Aula 13 - Controle de Estoque'!E10,'Aula 12 - Saídas'!$N$6:$N$7)</f>
        <v>0</v>
      </c>
      <c r="L10" s="2">
        <f>SUMIF('Aula 12 - Entradas'!$E$6:$E$16,'Aula 13 - Controle de Estoque'!E10,'Aula 12 - Entradas'!$J$6:$J$16)</f>
        <v>0</v>
      </c>
      <c r="M10" s="63">
        <f t="shared" si="2"/>
        <v>0</v>
      </c>
    </row>
    <row r="11" spans="1:13" x14ac:dyDescent="0.3">
      <c r="B11" t="s">
        <v>38</v>
      </c>
      <c r="C11" t="s">
        <v>39</v>
      </c>
      <c r="D11" t="s">
        <v>17</v>
      </c>
      <c r="E11" t="s">
        <v>28</v>
      </c>
      <c r="F11">
        <f>SUMIF('Aula 12 - Entradas'!$E$6:$E$16,'Aula 13 - Controle de Estoque'!E11,'Aula 12 - Entradas'!$H$6:$H$16)</f>
        <v>45</v>
      </c>
      <c r="G11">
        <f>SUMIF('Aula 12 - Saídas'!$E$6:$E$7,'Aula 13 - Controle de Estoque'!E11,'Aula 12 - Saídas'!$K$6:$K$7)</f>
        <v>0</v>
      </c>
      <c r="H11">
        <f t="shared" si="0"/>
        <v>45</v>
      </c>
      <c r="I11">
        <v>100</v>
      </c>
      <c r="J11" t="str">
        <f t="shared" si="1"/>
        <v>Estoque Perigoso</v>
      </c>
      <c r="K11" s="62">
        <f>SUMIF('Aula 12 - Saídas'!$E$6:$E$7,'Aula 13 - Controle de Estoque'!E11,'Aula 12 - Saídas'!$N$6:$N$7)</f>
        <v>0</v>
      </c>
      <c r="L11" s="2">
        <f>SUMIF('Aula 12 - Entradas'!$E$6:$E$16,'Aula 13 - Controle de Estoque'!E11,'Aula 12 - Entradas'!$J$6:$J$16)</f>
        <v>3600</v>
      </c>
      <c r="M11" s="63">
        <f t="shared" si="2"/>
        <v>-3600</v>
      </c>
    </row>
    <row r="12" spans="1:13" x14ac:dyDescent="0.3">
      <c r="B12" t="s">
        <v>115</v>
      </c>
      <c r="C12" t="s">
        <v>39</v>
      </c>
      <c r="D12" t="s">
        <v>18</v>
      </c>
      <c r="E12" t="s">
        <v>24</v>
      </c>
      <c r="F12">
        <f>SUMIF('Aula 12 - Entradas'!$E$6:$E$16,'Aula 13 - Controle de Estoque'!E12,'Aula 12 - Entradas'!$H$6:$H$16)</f>
        <v>0</v>
      </c>
      <c r="G12">
        <f>SUMIF('Aula 12 - Saídas'!$E$6:$E$7,'Aula 13 - Controle de Estoque'!E12,'Aula 12 - Saídas'!$K$6:$K$7)</f>
        <v>0</v>
      </c>
      <c r="H12">
        <f t="shared" si="0"/>
        <v>0</v>
      </c>
      <c r="I12">
        <v>30</v>
      </c>
      <c r="J12" t="str">
        <f t="shared" si="1"/>
        <v>Estoque Perigoso</v>
      </c>
      <c r="K12" s="62">
        <f>SUMIF('Aula 12 - Saídas'!$E$6:$E$7,'Aula 13 - Controle de Estoque'!E12,'Aula 12 - Saídas'!$N$6:$N$7)</f>
        <v>0</v>
      </c>
      <c r="L12" s="2">
        <f>SUMIF('Aula 12 - Entradas'!$E$6:$E$16,'Aula 13 - Controle de Estoque'!E12,'Aula 12 - Entradas'!$J$6:$J$16)</f>
        <v>0</v>
      </c>
      <c r="M12" s="63">
        <f t="shared" si="2"/>
        <v>0</v>
      </c>
    </row>
    <row r="16" spans="1:13" ht="16.5" x14ac:dyDescent="0.3">
      <c r="B16" s="60"/>
    </row>
  </sheetData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639-4945-4250-952C-614960E50A5F}">
  <sheetPr>
    <tabColor rgb="FF7030A0"/>
  </sheetPr>
  <dimension ref="A1:I18"/>
  <sheetViews>
    <sheetView topLeftCell="D1" zoomScale="80" zoomScaleNormal="80" workbookViewId="0">
      <selection activeCell="E18" sqref="E18"/>
    </sheetView>
  </sheetViews>
  <sheetFormatPr defaultRowHeight="15.75" x14ac:dyDescent="0.3"/>
  <cols>
    <col min="2" max="2" width="16.5546875" customWidth="1"/>
    <col min="3" max="3" width="17.33203125" style="2" bestFit="1" customWidth="1"/>
    <col min="4" max="4" width="15.109375" customWidth="1"/>
    <col min="5" max="5" width="10.5546875" bestFit="1" customWidth="1"/>
    <col min="6" max="6" width="15.5546875" style="73" customWidth="1"/>
    <col min="7" max="7" width="11.21875" customWidth="1"/>
    <col min="8" max="8" width="12.21875" style="2" bestFit="1" customWidth="1"/>
    <col min="9" max="9" width="10.21875" customWidth="1"/>
  </cols>
  <sheetData>
    <row r="1" spans="1:9" s="59" customFormat="1" ht="19.5" x14ac:dyDescent="0.35">
      <c r="A1" s="59" t="s">
        <v>188</v>
      </c>
      <c r="C1" s="71"/>
      <c r="F1" s="74"/>
      <c r="H1" s="71"/>
    </row>
    <row r="3" spans="1:9" x14ac:dyDescent="0.3">
      <c r="D3" s="69" t="s">
        <v>189</v>
      </c>
      <c r="E3" s="31">
        <v>44879</v>
      </c>
      <c r="G3" s="69"/>
      <c r="H3" s="76" t="s">
        <v>190</v>
      </c>
      <c r="I3" s="6">
        <v>2.0000000000000001E-4</v>
      </c>
    </row>
    <row r="6" spans="1:9" s="70" customFormat="1" ht="33" x14ac:dyDescent="0.3">
      <c r="B6" s="70" t="s">
        <v>191</v>
      </c>
      <c r="C6" s="72" t="s">
        <v>192</v>
      </c>
      <c r="D6" s="70" t="s">
        <v>193</v>
      </c>
      <c r="E6" s="70" t="s">
        <v>194</v>
      </c>
      <c r="F6" s="75" t="s">
        <v>195</v>
      </c>
      <c r="G6" s="70" t="s">
        <v>196</v>
      </c>
      <c r="H6" s="72" t="s">
        <v>197</v>
      </c>
      <c r="I6" s="70" t="s">
        <v>198</v>
      </c>
    </row>
    <row r="7" spans="1:9" x14ac:dyDescent="0.3">
      <c r="B7" t="s">
        <v>77</v>
      </c>
      <c r="C7" s="2">
        <f>SUMIF('Aula 12 - Entradas'!$G$6:$G$16,'Aula 14 - Contas a Pagar'!B7,'Aula 12 - Entradas'!$J$6:$J$16)</f>
        <v>78780</v>
      </c>
      <c r="D7" s="31">
        <v>44845</v>
      </c>
      <c r="E7">
        <f>$E$3-D7</f>
        <v>34</v>
      </c>
      <c r="F7" s="73">
        <f>WEEKDAY(D7,1)</f>
        <v>3</v>
      </c>
      <c r="G7" s="2">
        <f>C7*E7*$I$3</f>
        <v>535.70400000000006</v>
      </c>
      <c r="H7" s="2">
        <f>IF(E7&gt;=0,SUM(C7,G7),C7)</f>
        <v>79315.703999999998</v>
      </c>
      <c r="I7" t="str">
        <f>IF(E7=0,"VENCE HOJE",IF(E7&gt;0,"ATRASADO","EM DIA"))</f>
        <v>ATRASADO</v>
      </c>
    </row>
    <row r="8" spans="1:9" x14ac:dyDescent="0.3">
      <c r="B8" t="s">
        <v>78</v>
      </c>
      <c r="C8" s="2">
        <f>SUMIF('Aula 12 - Entradas'!$G$6:$G$16,'Aula 14 - Contas a Pagar'!B8,'Aula 12 - Entradas'!$J$6:$J$16)</f>
        <v>24620</v>
      </c>
      <c r="D8" s="31">
        <v>44819</v>
      </c>
      <c r="E8">
        <f t="shared" ref="E8:E11" si="0">$E$3-D8</f>
        <v>60</v>
      </c>
      <c r="F8" s="73">
        <f t="shared" ref="F8:F11" si="1">WEEKDAY(D8,1)</f>
        <v>5</v>
      </c>
      <c r="G8" s="2">
        <f t="shared" ref="G8:G11" si="2">C8*E8*$I$3</f>
        <v>295.44</v>
      </c>
      <c r="H8" s="2">
        <f t="shared" ref="H8:H11" si="3">IF(E8&gt;=0,SUM(C8,G8),C8)</f>
        <v>24915.439999999999</v>
      </c>
      <c r="I8" t="str">
        <f t="shared" ref="I8:I11" si="4">IF(E8=0,"VENCE HOJE",IF(E8&gt;0,"ATRASADO","EM DIA"))</f>
        <v>ATRASADO</v>
      </c>
    </row>
    <row r="9" spans="1:9" x14ac:dyDescent="0.3">
      <c r="B9" t="s">
        <v>79</v>
      </c>
      <c r="C9" s="2">
        <f>SUMIF('Aula 12 - Entradas'!$G$6:$G$16,'Aula 14 - Contas a Pagar'!B9,'Aula 12 - Entradas'!$J$6:$J$16)</f>
        <v>0</v>
      </c>
      <c r="G9" s="2">
        <f t="shared" si="2"/>
        <v>0</v>
      </c>
      <c r="H9" s="2">
        <f t="shared" si="3"/>
        <v>0</v>
      </c>
    </row>
    <row r="10" spans="1:9" x14ac:dyDescent="0.3">
      <c r="B10" t="s">
        <v>80</v>
      </c>
      <c r="C10" s="2">
        <f>SUMIF('Aula 12 - Entradas'!$G$6:$G$16,'Aula 14 - Contas a Pagar'!B10,'Aula 12 - Entradas'!$J$6:$J$16)</f>
        <v>0</v>
      </c>
      <c r="G10" s="2">
        <f t="shared" si="2"/>
        <v>0</v>
      </c>
      <c r="H10" s="2">
        <f t="shared" si="3"/>
        <v>0</v>
      </c>
    </row>
    <row r="11" spans="1:9" x14ac:dyDescent="0.3">
      <c r="B11" t="s">
        <v>81</v>
      </c>
      <c r="C11" s="2">
        <f>SUMIF('Aula 12 - Entradas'!$G$6:$G$16,'Aula 14 - Contas a Pagar'!B11,'Aula 12 - Entradas'!$J$6:$J$16)</f>
        <v>73200</v>
      </c>
      <c r="D11" s="31">
        <v>44780</v>
      </c>
      <c r="E11">
        <f t="shared" si="0"/>
        <v>99</v>
      </c>
      <c r="F11" s="73">
        <f t="shared" si="1"/>
        <v>1</v>
      </c>
      <c r="G11" s="2">
        <f t="shared" si="2"/>
        <v>1449.3600000000001</v>
      </c>
      <c r="H11" s="2">
        <f t="shared" si="3"/>
        <v>74649.36</v>
      </c>
      <c r="I11" t="str">
        <f t="shared" si="4"/>
        <v>ATRASADO</v>
      </c>
    </row>
    <row r="12" spans="1:9" x14ac:dyDescent="0.3">
      <c r="D12" s="31"/>
    </row>
    <row r="18" spans="5:5" ht="21" x14ac:dyDescent="0.4">
      <c r="E18" s="4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78B9-FA91-4C82-B822-222ED98A61A7}">
  <sheetPr>
    <tabColor rgb="FF7030A0"/>
  </sheetPr>
  <dimension ref="A1:I18"/>
  <sheetViews>
    <sheetView topLeftCell="B10" zoomScaleNormal="100" workbookViewId="0">
      <selection activeCell="C12" sqref="C12"/>
    </sheetView>
  </sheetViews>
  <sheetFormatPr defaultRowHeight="15.75" x14ac:dyDescent="0.3"/>
  <cols>
    <col min="2" max="2" width="16.5546875" customWidth="1"/>
    <col min="3" max="3" width="17.33203125" style="2" bestFit="1" customWidth="1"/>
    <col min="4" max="4" width="15.109375" customWidth="1"/>
    <col min="5" max="5" width="10.5546875" bestFit="1" customWidth="1"/>
    <col min="6" max="6" width="15.5546875" style="73" customWidth="1"/>
    <col min="7" max="7" width="11.21875" customWidth="1"/>
    <col min="8" max="8" width="12.21875" style="2" bestFit="1" customWidth="1"/>
    <col min="9" max="9" width="10.21875" customWidth="1"/>
  </cols>
  <sheetData>
    <row r="1" spans="1:9" s="59" customFormat="1" ht="19.5" x14ac:dyDescent="0.35">
      <c r="A1" s="59" t="s">
        <v>188</v>
      </c>
      <c r="C1" s="71"/>
      <c r="F1" s="74"/>
      <c r="H1" s="71"/>
    </row>
    <row r="3" spans="1:9" x14ac:dyDescent="0.3">
      <c r="D3" s="69" t="s">
        <v>189</v>
      </c>
      <c r="E3" s="31">
        <v>44879</v>
      </c>
      <c r="G3" s="69"/>
      <c r="H3" s="76" t="s">
        <v>190</v>
      </c>
      <c r="I3" s="6">
        <v>2.0000000000000001E-4</v>
      </c>
    </row>
    <row r="6" spans="1:9" s="70" customFormat="1" ht="33" x14ac:dyDescent="0.3">
      <c r="B6" s="70" t="s">
        <v>191</v>
      </c>
      <c r="C6" s="72" t="s">
        <v>192</v>
      </c>
      <c r="D6" s="70" t="s">
        <v>193</v>
      </c>
      <c r="E6" s="70" t="s">
        <v>194</v>
      </c>
      <c r="F6" s="75" t="s">
        <v>195</v>
      </c>
      <c r="G6" s="70" t="s">
        <v>196</v>
      </c>
      <c r="H6" s="72" t="s">
        <v>197</v>
      </c>
      <c r="I6" s="70" t="s">
        <v>198</v>
      </c>
    </row>
    <row r="7" spans="1:9" x14ac:dyDescent="0.3">
      <c r="B7" t="s">
        <v>77</v>
      </c>
      <c r="C7" s="2">
        <f>SUMIF('Aula 12 - Entradas'!$G$6:$G$16,'Aula 15 – Contas a Pagar Gráf'!B7,'Aula 12 - Entradas'!$J$6:$J$16)</f>
        <v>78780</v>
      </c>
      <c r="D7" s="31">
        <v>44845</v>
      </c>
      <c r="E7">
        <f>$E$3-D7</f>
        <v>34</v>
      </c>
      <c r="F7" s="73">
        <f>WEEKDAY(D7,1)</f>
        <v>3</v>
      </c>
      <c r="G7" s="2">
        <f>C7*E7*$I$3</f>
        <v>535.70400000000006</v>
      </c>
      <c r="H7" s="2">
        <f>IF(E7&gt;=0,SUM(C7,G7),C7)</f>
        <v>79315.703999999998</v>
      </c>
      <c r="I7" t="str">
        <f>IF(E7=0,"VENCE HOJE",IF(E7&gt;0,"ATRASADO","EM DIA"))</f>
        <v>ATRASADO</v>
      </c>
    </row>
    <row r="8" spans="1:9" x14ac:dyDescent="0.3">
      <c r="B8" t="s">
        <v>78</v>
      </c>
      <c r="C8" s="2">
        <f>SUMIF('Aula 12 - Entradas'!$G$6:$G$16,'Aula 15 – Contas a Pagar Gráf'!B8,'Aula 12 - Entradas'!$J$6:$J$16)</f>
        <v>24620</v>
      </c>
      <c r="D8" s="31">
        <v>44819</v>
      </c>
      <c r="E8">
        <f t="shared" ref="E8:E11" si="0">$E$3-D8</f>
        <v>60</v>
      </c>
      <c r="F8" s="73">
        <f t="shared" ref="F8:F11" si="1">WEEKDAY(D8,1)</f>
        <v>5</v>
      </c>
      <c r="G8" s="2">
        <f t="shared" ref="G8:G11" si="2">C8*E8*$I$3</f>
        <v>295.44</v>
      </c>
      <c r="H8" s="2">
        <f t="shared" ref="H8:H11" si="3">IF(E8&gt;=0,SUM(C8,G8),C8)</f>
        <v>24915.439999999999</v>
      </c>
      <c r="I8" t="str">
        <f t="shared" ref="I8:I11" si="4">IF(E8=0,"VENCE HOJE",IF(E8&gt;0,"ATRASADO","EM DIA"))</f>
        <v>ATRASADO</v>
      </c>
    </row>
    <row r="9" spans="1:9" x14ac:dyDescent="0.3">
      <c r="B9" t="s">
        <v>79</v>
      </c>
      <c r="C9" s="2">
        <f>SUMIF('Aula 12 - Entradas'!$G$6:$G$16,'Aula 15 – Contas a Pagar Gráf'!B9,'Aula 12 - Entradas'!$J$6:$J$16)</f>
        <v>0</v>
      </c>
      <c r="G9" s="2">
        <f t="shared" si="2"/>
        <v>0</v>
      </c>
      <c r="H9" s="2">
        <f t="shared" si="3"/>
        <v>0</v>
      </c>
    </row>
    <row r="10" spans="1:9" x14ac:dyDescent="0.3">
      <c r="B10" t="s">
        <v>80</v>
      </c>
      <c r="C10" s="2">
        <f>SUMIF('Aula 12 - Entradas'!$G$6:$G$16,'Aula 15 – Contas a Pagar Gráf'!B10,'Aula 12 - Entradas'!$J$6:$J$16)</f>
        <v>0</v>
      </c>
      <c r="G10" s="2">
        <f t="shared" si="2"/>
        <v>0</v>
      </c>
      <c r="H10" s="2">
        <f t="shared" si="3"/>
        <v>0</v>
      </c>
    </row>
    <row r="11" spans="1:9" x14ac:dyDescent="0.3">
      <c r="B11" t="s">
        <v>81</v>
      </c>
      <c r="C11" s="2">
        <f>SUMIF('Aula 12 - Entradas'!$G$6:$G$16,'Aula 15 – Contas a Pagar Gráf'!B11,'Aula 12 - Entradas'!$J$6:$J$16)</f>
        <v>73200</v>
      </c>
      <c r="D11" s="31">
        <v>44780</v>
      </c>
      <c r="E11">
        <f t="shared" si="0"/>
        <v>99</v>
      </c>
      <c r="F11" s="73">
        <f t="shared" si="1"/>
        <v>1</v>
      </c>
      <c r="G11" s="2">
        <f t="shared" si="2"/>
        <v>1449.3600000000001</v>
      </c>
      <c r="H11" s="2">
        <f t="shared" si="3"/>
        <v>74649.36</v>
      </c>
      <c r="I11" t="str">
        <f t="shared" si="4"/>
        <v>ATRASADO</v>
      </c>
    </row>
    <row r="12" spans="1:9" x14ac:dyDescent="0.3">
      <c r="D12" s="31"/>
    </row>
    <row r="18" spans="5:5" ht="21" x14ac:dyDescent="0.4">
      <c r="E18" s="4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B3510C1-341B-4ED7-AE10-692FDCA3DA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'Aula 15 – Contas a Pagar Gráf'!C7:C11</xm:f>
              <xm:sqref>C12</xm:sqref>
            </x14:sparkline>
          </x14:sparklines>
        </x14:sparklineGroup>
      </x14:sparklineGroup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3C66-AB0F-4AC3-8A14-084AA5E55838}">
  <sheetPr>
    <tabColor theme="5" tint="-0.249977111117893"/>
  </sheetPr>
  <dimension ref="A1"/>
  <sheetViews>
    <sheetView showGridLines="0" tabSelected="1" zoomScale="70" zoomScaleNormal="70"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CD65-77AB-4C07-9582-768587DA0D45}">
  <dimension ref="A1:I12"/>
  <sheetViews>
    <sheetView zoomScale="70" zoomScaleNormal="70" workbookViewId="0"/>
  </sheetViews>
  <sheetFormatPr defaultRowHeight="15.75" x14ac:dyDescent="0.3"/>
  <sheetData>
    <row r="1" spans="1:9" s="78" customFormat="1" ht="35.25" customHeight="1" x14ac:dyDescent="0.3">
      <c r="A1" s="77" t="s">
        <v>199</v>
      </c>
    </row>
    <row r="6" spans="1:9" ht="15.75" customHeight="1" x14ac:dyDescent="0.3">
      <c r="A6" s="79">
        <f>COUNTA('Aula - 4 Cadastro de Fornecedor'!B5:B9)</f>
        <v>5</v>
      </c>
      <c r="B6" s="79"/>
      <c r="C6" s="79"/>
      <c r="D6" s="79"/>
      <c r="E6" s="85"/>
      <c r="F6" s="79">
        <f>COUNTA('Aula 4 – Cadastro de Lojas'!B5:B8)</f>
        <v>4</v>
      </c>
      <c r="G6" s="79"/>
      <c r="H6" s="79"/>
      <c r="I6" s="79"/>
    </row>
    <row r="7" spans="1:9" ht="15.75" customHeight="1" x14ac:dyDescent="0.3">
      <c r="A7" s="79"/>
      <c r="B7" s="79"/>
      <c r="C7" s="79"/>
      <c r="D7" s="79"/>
      <c r="E7" s="85"/>
      <c r="F7" s="79"/>
      <c r="G7" s="79"/>
      <c r="H7" s="79"/>
      <c r="I7" s="79"/>
    </row>
    <row r="11" spans="1:9" ht="15.75" customHeight="1" x14ac:dyDescent="0.4">
      <c r="A11" s="80">
        <f>SUM('Aula 13 - Controle de Estoque'!K5:K12)</f>
        <v>2442</v>
      </c>
      <c r="B11" s="80"/>
      <c r="C11" s="80"/>
      <c r="D11" s="80"/>
      <c r="E11" s="83"/>
      <c r="F11" s="81">
        <f>SUM('Aula 13 - Controle de Estoque'!L5:L12)</f>
        <v>58700</v>
      </c>
      <c r="G11" s="82"/>
      <c r="H11" s="82"/>
      <c r="I11" s="82"/>
    </row>
    <row r="12" spans="1:9" ht="15.75" customHeight="1" x14ac:dyDescent="0.4">
      <c r="A12" s="80"/>
      <c r="B12" s="80"/>
      <c r="C12" s="80"/>
      <c r="D12" s="80"/>
      <c r="E12" s="84"/>
      <c r="F12" s="82"/>
      <c r="G12" s="82"/>
      <c r="H12" s="82"/>
      <c r="I12" s="82"/>
    </row>
  </sheetData>
  <mergeCells count="4">
    <mergeCell ref="F11:I12"/>
    <mergeCell ref="A11:D12"/>
    <mergeCell ref="A6:D7"/>
    <mergeCell ref="F6:I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Aula 1</vt:lpstr>
      <vt:lpstr>Aula 2</vt:lpstr>
      <vt:lpstr>Aula 3</vt:lpstr>
      <vt:lpstr>Aula 3.1</vt:lpstr>
      <vt:lpstr>Aula 4 - Cadastro de Produtos</vt:lpstr>
      <vt:lpstr>Aula - 4 Cadastro de Fornecedor</vt:lpstr>
      <vt:lpstr>Aula 4 – Cadastro de Lojas</vt:lpstr>
      <vt:lpstr>Aula 5</vt:lpstr>
      <vt:lpstr>Aula 6</vt:lpstr>
      <vt:lpstr>Aula 7</vt:lpstr>
      <vt:lpstr>Aula 8 - Entradas</vt:lpstr>
      <vt:lpstr>Aula 8 - Saídas</vt:lpstr>
      <vt:lpstr>Aula 09</vt:lpstr>
      <vt:lpstr>Aula 10</vt:lpstr>
      <vt:lpstr>Aula 11</vt:lpstr>
      <vt:lpstr>Aula 12 - casdastro de produtos</vt:lpstr>
      <vt:lpstr>Aula 12 - Entradas</vt:lpstr>
      <vt:lpstr>Aula 12 - Saídas</vt:lpstr>
      <vt:lpstr>Aula 12 - Controle de Estoque</vt:lpstr>
      <vt:lpstr>Aula 13 - Controle de Estoque</vt:lpstr>
      <vt:lpstr>Aula 14 - Contas a Pagar</vt:lpstr>
      <vt:lpstr>Aula 15 – Contas a Pagar Gráf</vt:lpstr>
      <vt:lpstr>Aula 16 – Menu</vt:lpstr>
      <vt:lpstr>Aula 16 -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2024-11-26T14:37:45Z</dcterms:created>
  <dcterms:modified xsi:type="dcterms:W3CDTF">2024-12-23T14:10:14Z</dcterms:modified>
</cp:coreProperties>
</file>