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win\Desktop\"/>
    </mc:Choice>
  </mc:AlternateContent>
  <xr:revisionPtr revIDLastSave="0" documentId="13_ncr:1_{B4E904B1-7AAA-4AED-A5AD-D149F44BFA20}" xr6:coauthVersionLast="45" xr6:coauthVersionMax="45" xr10:uidLastSave="{00000000-0000-0000-0000-000000000000}"/>
  <bookViews>
    <workbookView xWindow="7770" yWindow="1020" windowWidth="20910" windowHeight="12915" activeTab="2" xr2:uid="{10221F99-7CAE-43A3-8619-A3D0AA7615BD}"/>
  </bookViews>
  <sheets>
    <sheet name="MOSTLY CONFIDENCE INV" sheetId="1" r:id="rId1"/>
    <sheet name="ONE SAMPLE" sheetId="2" r:id="rId2"/>
    <sheet name="2 SMP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3" l="1"/>
  <c r="K32" i="3"/>
  <c r="J32" i="3"/>
  <c r="I32" i="3"/>
  <c r="A78" i="3" l="1"/>
  <c r="B75" i="3"/>
  <c r="B72" i="3"/>
  <c r="A72" i="3"/>
  <c r="B66" i="3"/>
  <c r="B59" i="3"/>
  <c r="B57" i="3"/>
  <c r="B37" i="3"/>
  <c r="B29" i="3"/>
  <c r="B49" i="3"/>
  <c r="B47" i="3"/>
  <c r="B21" i="3"/>
  <c r="A93" i="2"/>
  <c r="B89" i="2"/>
  <c r="B80" i="2"/>
  <c r="A80" i="2"/>
  <c r="B76" i="2"/>
  <c r="B52" i="2"/>
  <c r="C40" i="2"/>
  <c r="D43" i="2"/>
  <c r="B55" i="2"/>
  <c r="C55" i="2" s="1"/>
  <c r="B54" i="2"/>
  <c r="C54" i="2" s="1"/>
  <c r="D50" i="2"/>
  <c r="D49" i="2"/>
  <c r="C49" i="2"/>
  <c r="C31" i="2"/>
  <c r="D31" i="2"/>
  <c r="D34" i="2"/>
  <c r="D22" i="2"/>
  <c r="D24" i="2"/>
  <c r="D14" i="2"/>
  <c r="D16" i="2"/>
  <c r="D8" i="2"/>
  <c r="C5" i="2"/>
  <c r="D5" i="2"/>
  <c r="B91" i="1"/>
  <c r="B90" i="1"/>
  <c r="C87" i="1"/>
  <c r="B83" i="1"/>
  <c r="B82" i="1"/>
  <c r="C79" i="1"/>
  <c r="A57" i="1"/>
  <c r="B74" i="1"/>
  <c r="A74" i="1"/>
  <c r="B70" i="1"/>
  <c r="B69" i="1"/>
  <c r="C68" i="1"/>
  <c r="B64" i="1"/>
  <c r="A64" i="1"/>
  <c r="C62" i="1"/>
  <c r="D53" i="1"/>
  <c r="D52" i="1"/>
  <c r="C55" i="1"/>
  <c r="B57" i="1" s="1"/>
  <c r="C39" i="1"/>
  <c r="A45" i="1" s="1"/>
  <c r="B43" i="1"/>
  <c r="B35" i="1"/>
  <c r="A35" i="1"/>
  <c r="C30" i="1"/>
  <c r="D26" i="1"/>
  <c r="E26" i="1"/>
  <c r="D25" i="1"/>
  <c r="D24" i="1"/>
  <c r="D19" i="1"/>
  <c r="C15" i="1"/>
  <c r="B45" i="1" l="1"/>
</calcChain>
</file>

<file path=xl/sharedStrings.xml><?xml version="1.0" encoding="utf-8"?>
<sst xmlns="http://schemas.openxmlformats.org/spreadsheetml/2006/main" count="206" uniqueCount="105">
  <si>
    <t xml:space="preserve">NORMAL DISTRIBUTION </t>
  </si>
  <si>
    <t>Ketika stdev population known</t>
  </si>
  <si>
    <t>Student T-dist</t>
  </si>
  <si>
    <t>Ketika stdev population unknown dan S is known</t>
  </si>
  <si>
    <t>Populasi harus normal</t>
  </si>
  <si>
    <t>Chi-square (buat sampling dist S^2)</t>
  </si>
  <si>
    <t>F-dist (rasio variance 2 different samples)</t>
  </si>
  <si>
    <t>Standard error of the mean</t>
  </si>
  <si>
    <t>Stdev P</t>
  </si>
  <si>
    <t>n</t>
  </si>
  <si>
    <t>Standard error</t>
  </si>
  <si>
    <t>Test statistics</t>
  </si>
  <si>
    <t>X bar</t>
  </si>
  <si>
    <t>Z</t>
  </si>
  <si>
    <t>μ</t>
  </si>
  <si>
    <t>σ</t>
  </si>
  <si>
    <t>Critical value</t>
  </si>
  <si>
    <t xml:space="preserve">Two tail </t>
  </si>
  <si>
    <t>One tail &lt;</t>
  </si>
  <si>
    <t>One tail &gt;</t>
  </si>
  <si>
    <t>Confidence level</t>
  </si>
  <si>
    <t>Za/2</t>
  </si>
  <si>
    <t>Low</t>
  </si>
  <si>
    <t>High</t>
  </si>
  <si>
    <t xml:space="preserve">Confidence level </t>
  </si>
  <si>
    <t>Confidence intervals if σ is known</t>
  </si>
  <si>
    <t>Confidence intervals if σ is unknown</t>
  </si>
  <si>
    <t>Ta/2</t>
  </si>
  <si>
    <t>S</t>
  </si>
  <si>
    <t>df</t>
  </si>
  <si>
    <t>Difference between two means</t>
  </si>
  <si>
    <t>X bar 1</t>
  </si>
  <si>
    <t>X bar 2</t>
  </si>
  <si>
    <t>n1</t>
  </si>
  <si>
    <t>n2</t>
  </si>
  <si>
    <t>σ1</t>
  </si>
  <si>
    <t>σ2</t>
  </si>
  <si>
    <t>Confidence interval for a proportion</t>
  </si>
  <si>
    <t>Probability success</t>
  </si>
  <si>
    <t xml:space="preserve">Low </t>
  </si>
  <si>
    <t>Sample size</t>
  </si>
  <si>
    <t>Difference of two proportions</t>
  </si>
  <si>
    <t>p1</t>
  </si>
  <si>
    <t>p2</t>
  </si>
  <si>
    <t xml:space="preserve">Sample size </t>
  </si>
  <si>
    <t>without proportion</t>
  </si>
  <si>
    <t>e</t>
  </si>
  <si>
    <t>with proportion</t>
  </si>
  <si>
    <t>p</t>
  </si>
  <si>
    <t>Crit value</t>
  </si>
  <si>
    <t>IF Z BETWEEN CRIT VALUE, DON’T REJECT H0</t>
  </si>
  <si>
    <t>Upper tail Z test</t>
  </si>
  <si>
    <t>2 Tailed Z test</t>
  </si>
  <si>
    <t>IF Z &gt; CRIT VALUE, REJECT H0</t>
  </si>
  <si>
    <t>IF Z &lt; CRIT VALUE, REJECT H0</t>
  </si>
  <si>
    <t>Lower tail Z test</t>
  </si>
  <si>
    <t>TESTS WHEN σ is known</t>
  </si>
  <si>
    <t>2 Tailed T test</t>
  </si>
  <si>
    <t>IF T BETWEEN CRIT VALUE, DON’T REJECT H0</t>
  </si>
  <si>
    <t>T</t>
  </si>
  <si>
    <t>HYPOTHESIS TEST FOR PROPORTIONS</t>
  </si>
  <si>
    <t>ps</t>
  </si>
  <si>
    <t xml:space="preserve">np= </t>
  </si>
  <si>
    <t>n(1-p)=</t>
  </si>
  <si>
    <t>Z=</t>
  </si>
  <si>
    <t>HYPOTHESIS TEST FOR NUMBER OF SUCCESS</t>
  </si>
  <si>
    <t>TEST WHEN σ Unknown</t>
  </si>
  <si>
    <t>Lower T test</t>
  </si>
  <si>
    <t>IF T &lt; CRIT VALUE, REJECT H0</t>
  </si>
  <si>
    <t>CHI SQUARE TEST OF VARIANCE</t>
  </si>
  <si>
    <t>σH0</t>
  </si>
  <si>
    <t>s</t>
  </si>
  <si>
    <t>Confidence level =</t>
  </si>
  <si>
    <t xml:space="preserve">X2= </t>
  </si>
  <si>
    <t>(Test stat)</t>
  </si>
  <si>
    <t>2 TAILED</t>
  </si>
  <si>
    <t>LOWER TAIL</t>
  </si>
  <si>
    <t>TEST STATISTICS FOR μ1-μ2</t>
  </si>
  <si>
    <t>X1</t>
  </si>
  <si>
    <t>Xbar1</t>
  </si>
  <si>
    <t>Xbar2</t>
  </si>
  <si>
    <t xml:space="preserve">Z= </t>
  </si>
  <si>
    <t>where σ1 and σ2 is known</t>
  </si>
  <si>
    <t>s1</t>
  </si>
  <si>
    <t>s2</t>
  </si>
  <si>
    <t>TEST STATISTIC</t>
  </si>
  <si>
    <t>T=</t>
  </si>
  <si>
    <r>
      <t>POOLED STDEV</t>
    </r>
    <r>
      <rPr>
        <b/>
        <sz val="12"/>
        <color theme="1"/>
        <rFont val="Times New Roman"/>
        <family val="1"/>
      </rPr>
      <t xml:space="preserve"> for σ1 and σ2 unknown</t>
    </r>
  </si>
  <si>
    <t>where σ1 not equal to σ2 and unknown</t>
  </si>
  <si>
    <t>S1</t>
  </si>
  <si>
    <t>APPOX DF</t>
  </si>
  <si>
    <t>v=</t>
  </si>
  <si>
    <t xml:space="preserve">Sp^2 = </t>
  </si>
  <si>
    <t>PROPORTIONS</t>
  </si>
  <si>
    <t>X2</t>
  </si>
  <si>
    <t>p hat</t>
  </si>
  <si>
    <t>TEST STATISTICS</t>
  </si>
  <si>
    <t>TEST FOR VARIANCES</t>
  </si>
  <si>
    <t>S2</t>
  </si>
  <si>
    <t>F=</t>
  </si>
  <si>
    <t>CRIT VALUE FOR 2 tail</t>
  </si>
  <si>
    <t>Alpha</t>
  </si>
  <si>
    <t>Crit value for uppr tail</t>
  </si>
  <si>
    <t>Crit value for lower tail</t>
  </si>
  <si>
    <t>MEAN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</si>
</sst>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164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9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0</xdr:rowOff>
    </xdr:from>
    <xdr:to>
      <xdr:col>8</xdr:col>
      <xdr:colOff>549757</xdr:colOff>
      <xdr:row>8</xdr:row>
      <xdr:rowOff>139985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33B580-4D0A-467C-B8A3-FBE7CF27C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8950" y="0"/>
          <a:ext cx="3007207" cy="1740185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257175</xdr:colOff>
      <xdr:row>75</xdr:row>
      <xdr:rowOff>175532</xdr:rowOff>
    </xdr:from>
    <xdr:to>
      <xdr:col>5</xdr:col>
      <xdr:colOff>251</xdr:colOff>
      <xdr:row>78</xdr:row>
      <xdr:rowOff>123949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3B1624-1AA7-490F-A373-7829604E0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7475" y="15177407"/>
          <a:ext cx="1114676" cy="548492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84</xdr:row>
      <xdr:rowOff>152400</xdr:rowOff>
    </xdr:from>
    <xdr:to>
      <xdr:col>5</xdr:col>
      <xdr:colOff>116552</xdr:colOff>
      <xdr:row>87</xdr:row>
      <xdr:rowOff>152505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15B3F6-57B3-4E15-BD60-98E32AA53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33675" y="16954500"/>
          <a:ext cx="1154777" cy="600180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65</xdr:row>
      <xdr:rowOff>59984</xdr:rowOff>
    </xdr:from>
    <xdr:to>
      <xdr:col>8</xdr:col>
      <xdr:colOff>629445</xdr:colOff>
      <xdr:row>71</xdr:row>
      <xdr:rowOff>47865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F395E1-7941-4AA8-B5CF-D19B6E661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33650" y="13061609"/>
          <a:ext cx="3925095" cy="1188031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60</xdr:row>
      <xdr:rowOff>87054</xdr:rowOff>
    </xdr:from>
    <xdr:to>
      <xdr:col>7</xdr:col>
      <xdr:colOff>381467</xdr:colOff>
      <xdr:row>63</xdr:row>
      <xdr:rowOff>190612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7D02F5-E8C5-4441-9D7F-5F9E1EA3A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19375" y="12088554"/>
          <a:ext cx="2905592" cy="703633"/>
        </a:xfrm>
        <a:prstGeom prst="rect">
          <a:avLst/>
        </a:prstGeom>
      </xdr:spPr>
    </xdr:pic>
    <xdr:clientData/>
  </xdr:twoCellAnchor>
  <xdr:twoCellAnchor editAs="oneCell">
    <xdr:from>
      <xdr:col>2</xdr:col>
      <xdr:colOff>581024</xdr:colOff>
      <xdr:row>46</xdr:row>
      <xdr:rowOff>58891</xdr:rowOff>
    </xdr:from>
    <xdr:to>
      <xdr:col>8</xdr:col>
      <xdr:colOff>676275</xdr:colOff>
      <xdr:row>49</xdr:row>
      <xdr:rowOff>123946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F716B4-C5B9-4C9E-B0E7-145B18E75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95524" y="9260041"/>
          <a:ext cx="4210051" cy="665130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36</xdr:row>
      <xdr:rowOff>180975</xdr:rowOff>
    </xdr:from>
    <xdr:to>
      <xdr:col>6</xdr:col>
      <xdr:colOff>114534</xdr:colOff>
      <xdr:row>41</xdr:row>
      <xdr:rowOff>28693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DF2403-F7CC-49A2-B470-79BEA1897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95600" y="7381875"/>
          <a:ext cx="1676634" cy="847843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27</xdr:row>
      <xdr:rowOff>104775</xdr:rowOff>
    </xdr:from>
    <xdr:to>
      <xdr:col>5</xdr:col>
      <xdr:colOff>543127</xdr:colOff>
      <xdr:row>35</xdr:row>
      <xdr:rowOff>57367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555CCD2-74C0-4776-94AB-C982150C4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7025" y="5505450"/>
          <a:ext cx="1448002" cy="1552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47</xdr:row>
      <xdr:rowOff>0</xdr:rowOff>
    </xdr:from>
    <xdr:to>
      <xdr:col>6</xdr:col>
      <xdr:colOff>190718</xdr:colOff>
      <xdr:row>52</xdr:row>
      <xdr:rowOff>38245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4EA217-B33A-42FA-936F-4288FE8E4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7600950"/>
          <a:ext cx="1562318" cy="103837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57</xdr:row>
      <xdr:rowOff>0</xdr:rowOff>
    </xdr:from>
    <xdr:to>
      <xdr:col>3</xdr:col>
      <xdr:colOff>457578</xdr:colOff>
      <xdr:row>68</xdr:row>
      <xdr:rowOff>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4BE9F1-AF55-4604-827A-EE92ABB0D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9601200"/>
          <a:ext cx="2705478" cy="22005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114300</xdr:colOff>
      <xdr:row>11</xdr:row>
      <xdr:rowOff>84556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36FCF3-B8ED-462B-A3EB-A5B9DD3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62275" cy="22848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7</xdr:col>
      <xdr:colOff>362288</xdr:colOff>
      <xdr:row>18</xdr:row>
      <xdr:rowOff>123982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A4B761-C7B3-449F-8ABD-82135B63F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2600325"/>
          <a:ext cx="2419688" cy="112410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7</xdr:col>
      <xdr:colOff>38392</xdr:colOff>
      <xdr:row>26</xdr:row>
      <xdr:rowOff>19136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D9A14-552C-4E12-BFAF-2B1E8BDA7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43200" y="4600575"/>
          <a:ext cx="2095792" cy="6192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7</xdr:col>
      <xdr:colOff>381340</xdr:colOff>
      <xdr:row>34</xdr:row>
      <xdr:rowOff>133508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2F3DD9-BBF0-43E0-B2F4-092104822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0" y="5800725"/>
          <a:ext cx="2438740" cy="11336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6</xdr:col>
      <xdr:colOff>619403</xdr:colOff>
      <xdr:row>41</xdr:row>
      <xdr:rowOff>57242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A00560-FFC0-4181-ADE9-309AD05F8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3200" y="7600950"/>
          <a:ext cx="1991003" cy="6573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7</xdr:col>
      <xdr:colOff>247972</xdr:colOff>
      <xdr:row>46</xdr:row>
      <xdr:rowOff>66740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D23D5D-EBAD-4AD6-9235-4194AC4D5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43200" y="8801100"/>
          <a:ext cx="2305372" cy="4667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3</xdr:col>
      <xdr:colOff>381149</xdr:colOff>
      <xdr:row>53</xdr:row>
      <xdr:rowOff>190582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71F5F1-B2BD-4974-A3E9-6DF877439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6375" y="10201275"/>
          <a:ext cx="1066949" cy="590632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57</xdr:row>
      <xdr:rowOff>9525</xdr:rowOff>
    </xdr:from>
    <xdr:to>
      <xdr:col>4</xdr:col>
      <xdr:colOff>257392</xdr:colOff>
      <xdr:row>60</xdr:row>
      <xdr:rowOff>76293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52C2F3-2B81-47D1-96BC-EFF60277A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2575" y="11410950"/>
          <a:ext cx="1552792" cy="6668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609685</xdr:colOff>
      <xdr:row>65</xdr:row>
      <xdr:rowOff>9610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CEBE72D-C263-4114-BF0A-850658FD9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62175" y="12401550"/>
          <a:ext cx="609685" cy="609685"/>
        </a:xfrm>
        <a:prstGeom prst="rect">
          <a:avLst/>
        </a:prstGeom>
      </xdr:spPr>
    </xdr:pic>
    <xdr:clientData/>
  </xdr:twoCellAnchor>
  <xdr:twoCellAnchor editAs="oneCell">
    <xdr:from>
      <xdr:col>4</xdr:col>
      <xdr:colOff>247649</xdr:colOff>
      <xdr:row>60</xdr:row>
      <xdr:rowOff>48991</xdr:rowOff>
    </xdr:from>
    <xdr:to>
      <xdr:col>8</xdr:col>
      <xdr:colOff>143486</xdr:colOff>
      <xdr:row>68</xdr:row>
      <xdr:rowOff>181376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6673355-61B4-4339-BB45-09DA6290D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95624" y="12050491"/>
          <a:ext cx="2639037" cy="173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AA13-C1C5-4304-9783-0E5D25541CEB}">
  <dimension ref="A1:F91"/>
  <sheetViews>
    <sheetView topLeftCell="A61" workbookViewId="0">
      <selection activeCell="A77" sqref="A77"/>
    </sheetView>
  </sheetViews>
  <sheetFormatPr defaultRowHeight="15.75" x14ac:dyDescent="0.25"/>
  <cols>
    <col min="2" max="2" width="13.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4" spans="1:3" x14ac:dyDescent="0.25">
      <c r="A4" t="s">
        <v>2</v>
      </c>
    </row>
    <row r="5" spans="1:3" x14ac:dyDescent="0.25">
      <c r="A5" t="s">
        <v>3</v>
      </c>
    </row>
    <row r="7" spans="1:3" x14ac:dyDescent="0.25">
      <c r="A7" t="s">
        <v>5</v>
      </c>
    </row>
    <row r="8" spans="1:3" x14ac:dyDescent="0.25">
      <c r="A8" t="s">
        <v>4</v>
      </c>
    </row>
    <row r="10" spans="1:3" x14ac:dyDescent="0.25">
      <c r="A10" t="s">
        <v>6</v>
      </c>
    </row>
    <row r="11" spans="1:3" x14ac:dyDescent="0.25">
      <c r="A11" t="s">
        <v>4</v>
      </c>
    </row>
    <row r="13" spans="1:3" x14ac:dyDescent="0.25">
      <c r="A13" s="2" t="s">
        <v>7</v>
      </c>
    </row>
    <row r="14" spans="1:3" x14ac:dyDescent="0.25">
      <c r="A14" t="s">
        <v>8</v>
      </c>
      <c r="B14" t="s">
        <v>9</v>
      </c>
      <c r="C14" t="s">
        <v>10</v>
      </c>
    </row>
    <row r="15" spans="1:3" x14ac:dyDescent="0.25">
      <c r="A15" s="1">
        <v>1</v>
      </c>
      <c r="B15" s="1">
        <v>1</v>
      </c>
      <c r="C15" s="1">
        <f>A15/SQRT(B15)</f>
        <v>1</v>
      </c>
    </row>
    <row r="17" spans="1:5" x14ac:dyDescent="0.25">
      <c r="A17" s="2" t="s">
        <v>11</v>
      </c>
    </row>
    <row r="18" spans="1:5" x14ac:dyDescent="0.25">
      <c r="A18" t="s">
        <v>14</v>
      </c>
      <c r="B18">
        <v>6</v>
      </c>
      <c r="D18" t="s">
        <v>13</v>
      </c>
    </row>
    <row r="19" spans="1:5" x14ac:dyDescent="0.25">
      <c r="A19" s="3" t="s">
        <v>15</v>
      </c>
      <c r="B19">
        <v>0.15</v>
      </c>
      <c r="D19">
        <f>(B21-B18)/(B19/SQRT(B20))</f>
        <v>2.742910052399758</v>
      </c>
    </row>
    <row r="20" spans="1:5" x14ac:dyDescent="0.25">
      <c r="A20" t="s">
        <v>9</v>
      </c>
      <c r="B20">
        <v>80</v>
      </c>
    </row>
    <row r="21" spans="1:5" x14ac:dyDescent="0.25">
      <c r="A21" t="s">
        <v>12</v>
      </c>
      <c r="B21">
        <v>6.0460000000000003</v>
      </c>
    </row>
    <row r="23" spans="1:5" x14ac:dyDescent="0.25">
      <c r="A23" s="2" t="s">
        <v>16</v>
      </c>
    </row>
    <row r="24" spans="1:5" x14ac:dyDescent="0.25">
      <c r="A24" t="s">
        <v>20</v>
      </c>
      <c r="C24" t="s">
        <v>19</v>
      </c>
      <c r="D24" s="5">
        <f>_xlfn.NORM.S.INV(A25)</f>
        <v>1.6448536269514715</v>
      </c>
      <c r="E24" s="5"/>
    </row>
    <row r="25" spans="1:5" x14ac:dyDescent="0.25">
      <c r="A25" s="4">
        <v>0.95</v>
      </c>
      <c r="C25" t="s">
        <v>18</v>
      </c>
      <c r="D25" s="5">
        <f>_xlfn.NORM.S.INV(A25)</f>
        <v>1.6448536269514715</v>
      </c>
      <c r="E25" s="5"/>
    </row>
    <row r="26" spans="1:5" x14ac:dyDescent="0.25">
      <c r="A26" s="3"/>
      <c r="C26" s="3" t="s">
        <v>17</v>
      </c>
      <c r="D26" s="5">
        <f>_xlfn.NORM.S.INV((1-A25)/2)</f>
        <v>-1.9599639845400536</v>
      </c>
      <c r="E26" s="5">
        <f>_xlfn.NORM.S.INV(A25+(1-A25)/2)</f>
        <v>1.9599639845400536</v>
      </c>
    </row>
    <row r="27" spans="1:5" x14ac:dyDescent="0.25">
      <c r="A27" s="3"/>
    </row>
    <row r="28" spans="1:5" x14ac:dyDescent="0.25">
      <c r="A28" s="2" t="s">
        <v>25</v>
      </c>
    </row>
    <row r="29" spans="1:5" x14ac:dyDescent="0.25">
      <c r="A29" t="s">
        <v>24</v>
      </c>
      <c r="C29" s="3" t="s">
        <v>21</v>
      </c>
      <c r="D29" s="5"/>
    </row>
    <row r="30" spans="1:5" x14ac:dyDescent="0.25">
      <c r="A30" s="4">
        <v>0.95</v>
      </c>
      <c r="C30" s="5">
        <f>_xlfn.NORM.S.INV(A30+(1-A30)/2)</f>
        <v>1.9599639845400536</v>
      </c>
      <c r="D30" s="5"/>
      <c r="E30" s="5"/>
    </row>
    <row r="31" spans="1:5" x14ac:dyDescent="0.25">
      <c r="A31" s="3" t="s">
        <v>12</v>
      </c>
      <c r="B31" s="1">
        <v>2.2000000000000002</v>
      </c>
    </row>
    <row r="32" spans="1:5" x14ac:dyDescent="0.25">
      <c r="A32" s="3" t="s">
        <v>15</v>
      </c>
      <c r="B32" s="1">
        <v>0.35</v>
      </c>
    </row>
    <row r="33" spans="1:3" x14ac:dyDescent="0.25">
      <c r="A33" t="s">
        <v>9</v>
      </c>
      <c r="B33" s="1">
        <v>11</v>
      </c>
    </row>
    <row r="34" spans="1:3" x14ac:dyDescent="0.25">
      <c r="A34" t="s">
        <v>22</v>
      </c>
      <c r="B34" t="s">
        <v>23</v>
      </c>
    </row>
    <row r="35" spans="1:3" x14ac:dyDescent="0.25">
      <c r="A35">
        <f>B31-C30*(B32/SQRT(B33))</f>
        <v>1.9931670182940682</v>
      </c>
      <c r="B35">
        <f>B31+C30*(B32/SQRT(B33))</f>
        <v>2.4068329817059322</v>
      </c>
    </row>
    <row r="37" spans="1:3" x14ac:dyDescent="0.25">
      <c r="A37" s="2" t="s">
        <v>26</v>
      </c>
    </row>
    <row r="38" spans="1:3" x14ac:dyDescent="0.25">
      <c r="A38" t="s">
        <v>24</v>
      </c>
      <c r="C38" s="3" t="s">
        <v>27</v>
      </c>
    </row>
    <row r="39" spans="1:3" x14ac:dyDescent="0.25">
      <c r="A39" s="4">
        <v>0.95</v>
      </c>
      <c r="C39" s="5">
        <f>_xlfn.T.INV.2T(1-A39,B43)</f>
        <v>2.0638985616280254</v>
      </c>
    </row>
    <row r="40" spans="1:3" x14ac:dyDescent="0.25">
      <c r="A40" s="3" t="s">
        <v>12</v>
      </c>
      <c r="B40" s="1">
        <v>50</v>
      </c>
    </row>
    <row r="41" spans="1:3" x14ac:dyDescent="0.25">
      <c r="A41" s="3" t="s">
        <v>28</v>
      </c>
      <c r="B41" s="1">
        <v>8</v>
      </c>
    </row>
    <row r="42" spans="1:3" x14ac:dyDescent="0.25">
      <c r="A42" t="s">
        <v>9</v>
      </c>
      <c r="B42" s="1">
        <v>25</v>
      </c>
    </row>
    <row r="43" spans="1:3" x14ac:dyDescent="0.25">
      <c r="A43" t="s">
        <v>29</v>
      </c>
      <c r="B43">
        <f>B42-1</f>
        <v>24</v>
      </c>
    </row>
    <row r="44" spans="1:3" x14ac:dyDescent="0.25">
      <c r="A44" t="s">
        <v>22</v>
      </c>
      <c r="B44" t="s">
        <v>23</v>
      </c>
    </row>
    <row r="45" spans="1:3" x14ac:dyDescent="0.25">
      <c r="A45">
        <f>B40-C39*(B41/SQRT(B42))</f>
        <v>46.697762301395159</v>
      </c>
      <c r="B45">
        <f>B40+C39*(B41/SQRT(B42))</f>
        <v>53.302237698604841</v>
      </c>
    </row>
    <row r="47" spans="1:3" x14ac:dyDescent="0.25">
      <c r="A47" s="2" t="s">
        <v>30</v>
      </c>
    </row>
    <row r="48" spans="1:3" x14ac:dyDescent="0.25">
      <c r="A48" t="s">
        <v>31</v>
      </c>
      <c r="B48">
        <v>42</v>
      </c>
    </row>
    <row r="49" spans="1:6" x14ac:dyDescent="0.25">
      <c r="A49" t="s">
        <v>32</v>
      </c>
      <c r="B49">
        <v>36</v>
      </c>
    </row>
    <row r="50" spans="1:6" x14ac:dyDescent="0.25">
      <c r="A50" t="s">
        <v>33</v>
      </c>
      <c r="B50">
        <v>50</v>
      </c>
    </row>
    <row r="51" spans="1:6" x14ac:dyDescent="0.25">
      <c r="A51" t="s">
        <v>34</v>
      </c>
      <c r="B51">
        <v>75</v>
      </c>
    </row>
    <row r="52" spans="1:6" x14ac:dyDescent="0.25">
      <c r="A52" s="3" t="s">
        <v>35</v>
      </c>
      <c r="B52">
        <v>6</v>
      </c>
      <c r="D52">
        <f>B52*B52</f>
        <v>36</v>
      </c>
    </row>
    <row r="53" spans="1:6" x14ac:dyDescent="0.25">
      <c r="A53" s="3" t="s">
        <v>36</v>
      </c>
      <c r="B53">
        <v>8</v>
      </c>
      <c r="D53">
        <f>B53*B53</f>
        <v>64</v>
      </c>
    </row>
    <row r="54" spans="1:6" x14ac:dyDescent="0.25">
      <c r="A54" t="s">
        <v>24</v>
      </c>
      <c r="C54" s="3" t="s">
        <v>21</v>
      </c>
    </row>
    <row r="55" spans="1:6" x14ac:dyDescent="0.25">
      <c r="A55" s="4">
        <v>0.95</v>
      </c>
      <c r="C55" s="5">
        <f>_xlfn.NORM.S.INV(A55+(1-A55)/2)</f>
        <v>1.9599639845400536</v>
      </c>
    </row>
    <row r="56" spans="1:6" x14ac:dyDescent="0.25">
      <c r="A56" t="s">
        <v>22</v>
      </c>
      <c r="B56" t="s">
        <v>23</v>
      </c>
    </row>
    <row r="57" spans="1:6" x14ac:dyDescent="0.25">
      <c r="A57">
        <f>($B$48-$B$49)-($C$55*SQRT($D$52/$B$50+$D$53/$B$51))</f>
        <v>3.5415665127513782</v>
      </c>
      <c r="B57">
        <f>($B$48-$B$49)+($C$55*SQRT($D$52/$B$50+$D$53/$B$51))</f>
        <v>8.4584334872486213</v>
      </c>
    </row>
    <row r="59" spans="1:6" x14ac:dyDescent="0.25">
      <c r="A59" s="2" t="s">
        <v>37</v>
      </c>
    </row>
    <row r="60" spans="1:6" x14ac:dyDescent="0.25">
      <c r="A60" t="s">
        <v>38</v>
      </c>
      <c r="C60" s="6">
        <v>0.25</v>
      </c>
      <c r="E60">
        <v>100</v>
      </c>
      <c r="F60" t="s">
        <v>40</v>
      </c>
    </row>
    <row r="61" spans="1:6" x14ac:dyDescent="0.25">
      <c r="A61" t="s">
        <v>24</v>
      </c>
      <c r="C61" s="3" t="s">
        <v>21</v>
      </c>
    </row>
    <row r="62" spans="1:6" x14ac:dyDescent="0.25">
      <c r="A62" s="4">
        <v>0.96</v>
      </c>
      <c r="C62" s="5">
        <f>_xlfn.NORM.S.INV(A62+(1-A62)/2)</f>
        <v>2.0537489106318221</v>
      </c>
    </row>
    <row r="63" spans="1:6" x14ac:dyDescent="0.25">
      <c r="A63" t="s">
        <v>39</v>
      </c>
      <c r="B63" t="s">
        <v>23</v>
      </c>
    </row>
    <row r="64" spans="1:6" x14ac:dyDescent="0.25">
      <c r="A64" s="7">
        <f>C60-C62*(SQRT((C60*(1-C60))/E60))</f>
        <v>0.16107006351991127</v>
      </c>
      <c r="B64" s="7">
        <f>C60+C62*(SQRT((C60*(1-C60))/E60))</f>
        <v>0.33892993648008873</v>
      </c>
    </row>
    <row r="66" spans="1:3" x14ac:dyDescent="0.25">
      <c r="A66" s="2" t="s">
        <v>41</v>
      </c>
    </row>
    <row r="67" spans="1:3" x14ac:dyDescent="0.25">
      <c r="A67" t="s">
        <v>24</v>
      </c>
      <c r="C67" s="3" t="s">
        <v>21</v>
      </c>
    </row>
    <row r="68" spans="1:3" x14ac:dyDescent="0.25">
      <c r="A68" s="4">
        <v>0.95</v>
      </c>
      <c r="C68" s="5">
        <f>_xlfn.NORM.S.INV(A68+(1-A68)/2)</f>
        <v>1.9599639845400536</v>
      </c>
    </row>
    <row r="69" spans="1:3" x14ac:dyDescent="0.25">
      <c r="A69" t="s">
        <v>42</v>
      </c>
      <c r="B69">
        <f>4/50</f>
        <v>0.08</v>
      </c>
    </row>
    <row r="70" spans="1:3" x14ac:dyDescent="0.25">
      <c r="A70" t="s">
        <v>43</v>
      </c>
      <c r="B70">
        <f>6/40</f>
        <v>0.15</v>
      </c>
    </row>
    <row r="71" spans="1:3" x14ac:dyDescent="0.25">
      <c r="A71" t="s">
        <v>33</v>
      </c>
      <c r="B71">
        <v>50</v>
      </c>
    </row>
    <row r="72" spans="1:3" x14ac:dyDescent="0.25">
      <c r="A72" t="s">
        <v>34</v>
      </c>
      <c r="B72">
        <v>40</v>
      </c>
    </row>
    <row r="73" spans="1:3" x14ac:dyDescent="0.25">
      <c r="A73" t="s">
        <v>22</v>
      </c>
      <c r="B73" t="s">
        <v>23</v>
      </c>
    </row>
    <row r="74" spans="1:3" x14ac:dyDescent="0.25">
      <c r="A74">
        <f>(-B70+B69)-C68*(SQRT(B69*(1-B69)/B71+B70*(1-B70)/B72))</f>
        <v>-0.20378818099901153</v>
      </c>
      <c r="B74">
        <f>(-B70+B69)+C68*(SQRT(B69*(1-B69)/B71+B70*(1-B70)/B72))</f>
        <v>6.3788180999011526E-2</v>
      </c>
    </row>
    <row r="76" spans="1:3" x14ac:dyDescent="0.25">
      <c r="A76" s="2" t="s">
        <v>44</v>
      </c>
    </row>
    <row r="77" spans="1:3" x14ac:dyDescent="0.25">
      <c r="A77" s="2" t="s">
        <v>45</v>
      </c>
    </row>
    <row r="78" spans="1:3" x14ac:dyDescent="0.25">
      <c r="A78" t="s">
        <v>24</v>
      </c>
      <c r="C78" s="3" t="s">
        <v>21</v>
      </c>
    </row>
    <row r="79" spans="1:3" x14ac:dyDescent="0.25">
      <c r="A79" s="4">
        <v>0.9</v>
      </c>
      <c r="C79" s="5">
        <f>_xlfn.NORM.S.INV(A79+(1-A79)/2)</f>
        <v>1.6448536269514715</v>
      </c>
    </row>
    <row r="80" spans="1:3" x14ac:dyDescent="0.25">
      <c r="A80" s="3" t="s">
        <v>15</v>
      </c>
      <c r="B80">
        <v>45</v>
      </c>
    </row>
    <row r="81" spans="1:3" x14ac:dyDescent="0.25">
      <c r="A81" s="3" t="s">
        <v>46</v>
      </c>
      <c r="B81">
        <v>5</v>
      </c>
    </row>
    <row r="82" spans="1:3" x14ac:dyDescent="0.25">
      <c r="A82" s="3" t="s">
        <v>9</v>
      </c>
      <c r="B82">
        <f>C79^2*B80^2/B81^2</f>
        <v>219.14901978172827</v>
      </c>
    </row>
    <row r="83" spans="1:3" x14ac:dyDescent="0.25">
      <c r="B83">
        <f>ROUNDUP(B82,0)</f>
        <v>220</v>
      </c>
    </row>
    <row r="85" spans="1:3" x14ac:dyDescent="0.25">
      <c r="A85" s="2" t="s">
        <v>47</v>
      </c>
    </row>
    <row r="86" spans="1:3" x14ac:dyDescent="0.25">
      <c r="A86" t="s">
        <v>24</v>
      </c>
      <c r="C86" s="3" t="s">
        <v>21</v>
      </c>
    </row>
    <row r="87" spans="1:3" x14ac:dyDescent="0.25">
      <c r="A87" s="4">
        <v>0.95</v>
      </c>
      <c r="C87" s="5">
        <f>_xlfn.NORM.S.INV(A87+(1-A87)/2)</f>
        <v>1.9599639845400536</v>
      </c>
    </row>
    <row r="88" spans="1:3" x14ac:dyDescent="0.25">
      <c r="A88" t="s">
        <v>48</v>
      </c>
      <c r="B88">
        <v>0.12</v>
      </c>
    </row>
    <row r="89" spans="1:3" x14ac:dyDescent="0.25">
      <c r="A89" t="s">
        <v>46</v>
      </c>
      <c r="B89">
        <v>0.03</v>
      </c>
    </row>
    <row r="90" spans="1:3" x14ac:dyDescent="0.25">
      <c r="A90" t="s">
        <v>9</v>
      </c>
      <c r="B90">
        <f>(C87^2*(B88*(1-B88)))/B89^2</f>
        <v>450.73116829477715</v>
      </c>
    </row>
    <row r="91" spans="1:3" x14ac:dyDescent="0.25">
      <c r="B91">
        <f>ROUNDUP(B90,0)</f>
        <v>451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02B5-1D9B-4B14-808D-B67C8C3BFD33}">
  <dimension ref="A2:D93"/>
  <sheetViews>
    <sheetView topLeftCell="A34" workbookViewId="0">
      <selection activeCell="A57" sqref="A57"/>
    </sheetView>
  </sheetViews>
  <sheetFormatPr defaultRowHeight="15.75" x14ac:dyDescent="0.25"/>
  <cols>
    <col min="1" max="1" width="13.5" bestFit="1" customWidth="1"/>
  </cols>
  <sheetData>
    <row r="2" spans="1:4" x14ac:dyDescent="0.25">
      <c r="A2" s="2" t="s">
        <v>56</v>
      </c>
    </row>
    <row r="3" spans="1:4" x14ac:dyDescent="0.25">
      <c r="A3" s="2" t="s">
        <v>52</v>
      </c>
    </row>
    <row r="4" spans="1:4" x14ac:dyDescent="0.25">
      <c r="A4" t="s">
        <v>24</v>
      </c>
      <c r="C4" s="10" t="s">
        <v>49</v>
      </c>
      <c r="D4" s="10"/>
    </row>
    <row r="5" spans="1:4" x14ac:dyDescent="0.25">
      <c r="A5" s="4">
        <v>0.95</v>
      </c>
      <c r="C5" s="5">
        <f>_xlfn.NORM.S.INV((1-A5)/2)</f>
        <v>-1.9599639845400536</v>
      </c>
      <c r="D5" s="5">
        <f>_xlfn.NORM.S.INV(A5+(1-A5)/2)</f>
        <v>1.9599639845400536</v>
      </c>
    </row>
    <row r="7" spans="1:4" x14ac:dyDescent="0.25">
      <c r="A7" t="s">
        <v>14</v>
      </c>
      <c r="B7">
        <v>14</v>
      </c>
      <c r="D7" t="s">
        <v>13</v>
      </c>
    </row>
    <row r="8" spans="1:4" x14ac:dyDescent="0.25">
      <c r="A8" s="3" t="s">
        <v>15</v>
      </c>
      <c r="B8">
        <v>3.4</v>
      </c>
      <c r="D8">
        <f>(B10-B7)/(B8/SQRT(B9))</f>
        <v>-2.6411699200757237</v>
      </c>
    </row>
    <row r="9" spans="1:4" x14ac:dyDescent="0.25">
      <c r="A9" t="s">
        <v>9</v>
      </c>
      <c r="B9">
        <v>14</v>
      </c>
      <c r="D9" t="s">
        <v>50</v>
      </c>
    </row>
    <row r="10" spans="1:4" x14ac:dyDescent="0.25">
      <c r="A10" t="s">
        <v>12</v>
      </c>
      <c r="B10">
        <v>11.6</v>
      </c>
    </row>
    <row r="11" spans="1:4" x14ac:dyDescent="0.25">
      <c r="C11" s="3"/>
    </row>
    <row r="12" spans="1:4" x14ac:dyDescent="0.25">
      <c r="A12" s="9" t="s">
        <v>51</v>
      </c>
      <c r="C12" s="5"/>
    </row>
    <row r="13" spans="1:4" x14ac:dyDescent="0.25">
      <c r="A13" t="s">
        <v>24</v>
      </c>
      <c r="C13" s="10" t="s">
        <v>49</v>
      </c>
      <c r="D13" s="10"/>
    </row>
    <row r="14" spans="1:4" x14ac:dyDescent="0.25">
      <c r="A14" s="4">
        <v>0.9</v>
      </c>
      <c r="C14" s="5"/>
      <c r="D14" s="5">
        <f>_xlfn.NORM.S.INV(A14)</f>
        <v>1.2815515655446006</v>
      </c>
    </row>
    <row r="15" spans="1:4" x14ac:dyDescent="0.25">
      <c r="A15" t="s">
        <v>14</v>
      </c>
      <c r="B15">
        <v>52</v>
      </c>
      <c r="D15" t="s">
        <v>13</v>
      </c>
    </row>
    <row r="16" spans="1:4" x14ac:dyDescent="0.25">
      <c r="A16" s="3" t="s">
        <v>15</v>
      </c>
      <c r="B16">
        <v>10</v>
      </c>
      <c r="D16">
        <f>(B18-B15)/(B16/SQRT(B17))</f>
        <v>0.88000000000000111</v>
      </c>
    </row>
    <row r="17" spans="1:4" x14ac:dyDescent="0.25">
      <c r="A17" t="s">
        <v>9</v>
      </c>
      <c r="B17">
        <v>64</v>
      </c>
      <c r="D17" t="s">
        <v>53</v>
      </c>
    </row>
    <row r="18" spans="1:4" x14ac:dyDescent="0.25">
      <c r="A18" t="s">
        <v>12</v>
      </c>
      <c r="B18">
        <v>53.1</v>
      </c>
    </row>
    <row r="20" spans="1:4" x14ac:dyDescent="0.25">
      <c r="A20" s="9" t="s">
        <v>55</v>
      </c>
      <c r="C20" s="5"/>
    </row>
    <row r="21" spans="1:4" x14ac:dyDescent="0.25">
      <c r="A21" t="s">
        <v>24</v>
      </c>
      <c r="C21" s="10" t="s">
        <v>49</v>
      </c>
      <c r="D21" s="10"/>
    </row>
    <row r="22" spans="1:4" x14ac:dyDescent="0.25">
      <c r="A22" s="4">
        <v>0.95</v>
      </c>
      <c r="C22" s="5"/>
      <c r="D22" s="5">
        <f>_xlfn.NORM.S.INV(1-A22)</f>
        <v>-1.6448536269514715</v>
      </c>
    </row>
    <row r="23" spans="1:4" x14ac:dyDescent="0.25">
      <c r="A23" t="s">
        <v>14</v>
      </c>
      <c r="B23">
        <v>70</v>
      </c>
      <c r="D23" t="s">
        <v>13</v>
      </c>
    </row>
    <row r="24" spans="1:4" x14ac:dyDescent="0.25">
      <c r="A24" s="3" t="s">
        <v>15</v>
      </c>
      <c r="B24">
        <v>17.32</v>
      </c>
      <c r="D24">
        <f>(B26-B23)/(B24/SQRT(B25))</f>
        <v>-0.83002735986905929</v>
      </c>
    </row>
    <row r="25" spans="1:4" x14ac:dyDescent="0.25">
      <c r="A25" t="s">
        <v>9</v>
      </c>
      <c r="B25">
        <v>35</v>
      </c>
      <c r="D25" t="s">
        <v>54</v>
      </c>
    </row>
    <row r="26" spans="1:4" x14ac:dyDescent="0.25">
      <c r="A26" t="s">
        <v>12</v>
      </c>
      <c r="B26">
        <v>67.569999999999993</v>
      </c>
    </row>
    <row r="28" spans="1:4" x14ac:dyDescent="0.25">
      <c r="A28" s="2" t="s">
        <v>66</v>
      </c>
    </row>
    <row r="29" spans="1:4" x14ac:dyDescent="0.25">
      <c r="A29" s="2" t="s">
        <v>57</v>
      </c>
    </row>
    <row r="30" spans="1:4" x14ac:dyDescent="0.25">
      <c r="A30" t="s">
        <v>24</v>
      </c>
      <c r="C30" s="10" t="s">
        <v>49</v>
      </c>
      <c r="D30" s="10"/>
    </row>
    <row r="31" spans="1:4" x14ac:dyDescent="0.25">
      <c r="A31" s="4">
        <v>0.95</v>
      </c>
      <c r="C31" s="5">
        <f>-_xlfn.T.INV.2T(1-A31,B35-1)</f>
        <v>-2.1603686564627917</v>
      </c>
      <c r="D31" s="5">
        <f>_xlfn.T.INV.2T(1-A31,B35-1)</f>
        <v>2.1603686564627917</v>
      </c>
    </row>
    <row r="33" spans="1:4" x14ac:dyDescent="0.25">
      <c r="A33" t="s">
        <v>14</v>
      </c>
      <c r="B33">
        <v>14</v>
      </c>
      <c r="D33" t="s">
        <v>59</v>
      </c>
    </row>
    <row r="34" spans="1:4" x14ac:dyDescent="0.25">
      <c r="A34" s="3" t="s">
        <v>28</v>
      </c>
      <c r="B34">
        <v>3.4</v>
      </c>
      <c r="D34">
        <f>(B36-B33)/(B34/SQRT(B35))</f>
        <v>-2.6411699200757237</v>
      </c>
    </row>
    <row r="35" spans="1:4" x14ac:dyDescent="0.25">
      <c r="A35" t="s">
        <v>9</v>
      </c>
      <c r="B35">
        <v>14</v>
      </c>
      <c r="D35" t="s">
        <v>58</v>
      </c>
    </row>
    <row r="36" spans="1:4" x14ac:dyDescent="0.25">
      <c r="A36" t="s">
        <v>12</v>
      </c>
      <c r="B36">
        <v>11.6</v>
      </c>
    </row>
    <row r="38" spans="1:4" x14ac:dyDescent="0.25">
      <c r="A38" s="2" t="s">
        <v>67</v>
      </c>
    </row>
    <row r="39" spans="1:4" x14ac:dyDescent="0.25">
      <c r="A39" t="s">
        <v>24</v>
      </c>
      <c r="C39" s="10" t="s">
        <v>49</v>
      </c>
      <c r="D39" s="10"/>
    </row>
    <row r="40" spans="1:4" x14ac:dyDescent="0.25">
      <c r="A40" s="4">
        <v>0.95</v>
      </c>
      <c r="C40" s="5">
        <f>_xlfn.T.INV(1-A40,B44-1)</f>
        <v>-1.7613101357748921</v>
      </c>
      <c r="D40" s="5"/>
    </row>
    <row r="42" spans="1:4" x14ac:dyDescent="0.25">
      <c r="A42" t="s">
        <v>14</v>
      </c>
      <c r="B42">
        <v>29</v>
      </c>
      <c r="D42" t="s">
        <v>59</v>
      </c>
    </row>
    <row r="43" spans="1:4" x14ac:dyDescent="0.25">
      <c r="A43" s="3" t="s">
        <v>28</v>
      </c>
      <c r="B43">
        <v>6.2</v>
      </c>
      <c r="D43">
        <f>(B45-B42)/(B43/SQRT(B44))</f>
        <v>-1.8740241997777822</v>
      </c>
    </row>
    <row r="44" spans="1:4" x14ac:dyDescent="0.25">
      <c r="A44" t="s">
        <v>9</v>
      </c>
      <c r="B44">
        <v>15</v>
      </c>
      <c r="D44" t="s">
        <v>68</v>
      </c>
    </row>
    <row r="45" spans="1:4" x14ac:dyDescent="0.25">
      <c r="A45" t="s">
        <v>12</v>
      </c>
      <c r="B45">
        <v>26</v>
      </c>
    </row>
    <row r="47" spans="1:4" x14ac:dyDescent="0.25">
      <c r="A47" s="2" t="s">
        <v>60</v>
      </c>
    </row>
    <row r="48" spans="1:4" x14ac:dyDescent="0.25">
      <c r="A48" t="s">
        <v>24</v>
      </c>
      <c r="C48" s="10" t="s">
        <v>49</v>
      </c>
      <c r="D48" s="10"/>
    </row>
    <row r="49" spans="1:4" x14ac:dyDescent="0.25">
      <c r="A49" s="4">
        <v>0.9</v>
      </c>
      <c r="C49" s="5">
        <f>_xlfn.NORM.S.INV((1-A49)/2)</f>
        <v>-1.6448536269514726</v>
      </c>
      <c r="D49" s="5">
        <f>_xlfn.NORM.S.INV(A49+(1-A49)/2)</f>
        <v>1.6448536269514715</v>
      </c>
    </row>
    <row r="50" spans="1:4" x14ac:dyDescent="0.25">
      <c r="A50" t="s">
        <v>9</v>
      </c>
      <c r="B50">
        <v>200</v>
      </c>
      <c r="C50" s="8" t="s">
        <v>64</v>
      </c>
      <c r="D50">
        <f>(B52-B51)/SQRT((B51*(1-B51)/B50))</f>
        <v>-2.0859650045003169</v>
      </c>
    </row>
    <row r="51" spans="1:4" x14ac:dyDescent="0.25">
      <c r="A51" t="s">
        <v>48</v>
      </c>
      <c r="B51" s="5">
        <v>0.8</v>
      </c>
    </row>
    <row r="52" spans="1:4" x14ac:dyDescent="0.25">
      <c r="A52" t="s">
        <v>61</v>
      </c>
      <c r="B52">
        <f>74.1/100</f>
        <v>0.74099999999999999</v>
      </c>
    </row>
    <row r="53" spans="1:4" x14ac:dyDescent="0.25">
      <c r="D53" t="s">
        <v>50</v>
      </c>
    </row>
    <row r="54" spans="1:4" x14ac:dyDescent="0.25">
      <c r="A54" t="s">
        <v>62</v>
      </c>
      <c r="B54">
        <f>B50*B51</f>
        <v>160</v>
      </c>
      <c r="C54" t="str">
        <f>IF(B54&gt;5,"ELIGIBLE","INELIGIBLE")</f>
        <v>ELIGIBLE</v>
      </c>
    </row>
    <row r="55" spans="1:4" x14ac:dyDescent="0.25">
      <c r="A55" t="s">
        <v>63</v>
      </c>
      <c r="B55">
        <f>B50*(1-B51)</f>
        <v>39.999999999999993</v>
      </c>
      <c r="C55" t="str">
        <f>IF(B55&gt;5,"ELIGIBLE","INELIGIBLE")</f>
        <v>ELIGIBLE</v>
      </c>
    </row>
    <row r="57" spans="1:4" x14ac:dyDescent="0.25">
      <c r="A57" s="2" t="s">
        <v>65</v>
      </c>
    </row>
    <row r="70" spans="1:4" x14ac:dyDescent="0.25">
      <c r="A70" s="2" t="s">
        <v>69</v>
      </c>
      <c r="D70" s="2" t="s">
        <v>75</v>
      </c>
    </row>
    <row r="71" spans="1:4" x14ac:dyDescent="0.25">
      <c r="A71" s="3" t="s">
        <v>70</v>
      </c>
      <c r="B71">
        <v>1</v>
      </c>
    </row>
    <row r="72" spans="1:4" x14ac:dyDescent="0.25">
      <c r="A72" t="s">
        <v>71</v>
      </c>
      <c r="B72">
        <v>0.73</v>
      </c>
    </row>
    <row r="73" spans="1:4" x14ac:dyDescent="0.25">
      <c r="A73" t="s">
        <v>9</v>
      </c>
      <c r="B73">
        <v>30</v>
      </c>
    </row>
    <row r="74" spans="1:4" x14ac:dyDescent="0.25">
      <c r="A74" t="s">
        <v>72</v>
      </c>
      <c r="C74" s="6">
        <v>0.9</v>
      </c>
    </row>
    <row r="76" spans="1:4" x14ac:dyDescent="0.25">
      <c r="A76" t="s">
        <v>73</v>
      </c>
      <c r="B76">
        <f>(B73-1)*B72^2/B71^2</f>
        <v>15.454099999999999</v>
      </c>
    </row>
    <row r="77" spans="1:4" x14ac:dyDescent="0.25">
      <c r="A77" t="s">
        <v>74</v>
      </c>
    </row>
    <row r="79" spans="1:4" x14ac:dyDescent="0.25">
      <c r="A79" t="s">
        <v>49</v>
      </c>
    </row>
    <row r="80" spans="1:4" x14ac:dyDescent="0.25">
      <c r="A80" s="5">
        <f>_xlfn.CHISQ.INV.RT(C74+(1-C74)/2,B73-1)</f>
        <v>17.708366182824584</v>
      </c>
      <c r="B80">
        <f>_xlfn.CHISQ.INV.RT((1-C74)/2,B73-1)</f>
        <v>42.556967804292682</v>
      </c>
    </row>
    <row r="82" spans="1:3" x14ac:dyDescent="0.25">
      <c r="A82" t="s">
        <v>76</v>
      </c>
    </row>
    <row r="84" spans="1:3" x14ac:dyDescent="0.25">
      <c r="A84" s="3" t="s">
        <v>70</v>
      </c>
      <c r="B84">
        <v>1</v>
      </c>
    </row>
    <row r="85" spans="1:3" x14ac:dyDescent="0.25">
      <c r="A85" t="s">
        <v>71</v>
      </c>
      <c r="B85">
        <v>0.73</v>
      </c>
    </row>
    <row r="86" spans="1:3" x14ac:dyDescent="0.25">
      <c r="A86" t="s">
        <v>9</v>
      </c>
      <c r="B86">
        <v>30</v>
      </c>
    </row>
    <row r="87" spans="1:3" x14ac:dyDescent="0.25">
      <c r="A87" t="s">
        <v>72</v>
      </c>
      <c r="C87" s="6">
        <v>0.9</v>
      </c>
    </row>
    <row r="89" spans="1:3" x14ac:dyDescent="0.25">
      <c r="A89" t="s">
        <v>73</v>
      </c>
      <c r="B89">
        <f>(B86-1)*B85^2/B84^2</f>
        <v>15.454099999999999</v>
      </c>
    </row>
    <row r="90" spans="1:3" x14ac:dyDescent="0.25">
      <c r="A90" t="s">
        <v>74</v>
      </c>
    </row>
    <row r="92" spans="1:3" x14ac:dyDescent="0.25">
      <c r="A92" t="s">
        <v>49</v>
      </c>
    </row>
    <row r="93" spans="1:3" x14ac:dyDescent="0.25">
      <c r="A93" s="5">
        <f>_xlfn.CHISQ.INV.RT(C87,B86-1)</f>
        <v>19.767743559474834</v>
      </c>
    </row>
  </sheetData>
  <mergeCells count="6">
    <mergeCell ref="C4:D4"/>
    <mergeCell ref="C13:D13"/>
    <mergeCell ref="C21:D21"/>
    <mergeCell ref="C30:D30"/>
    <mergeCell ref="C48:D48"/>
    <mergeCell ref="C39:D3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5ACA-4BDD-48B4-BA9D-0402A897FAC5}">
  <dimension ref="A13:L78"/>
  <sheetViews>
    <sheetView tabSelected="1" workbookViewId="0">
      <selection activeCell="B78" sqref="B78"/>
    </sheetView>
  </sheetViews>
  <sheetFormatPr defaultRowHeight="15.75" x14ac:dyDescent="0.25"/>
  <cols>
    <col min="2" max="2" width="10.375" bestFit="1" customWidth="1"/>
  </cols>
  <sheetData>
    <row r="13" spans="1:4" x14ac:dyDescent="0.25">
      <c r="A13" t="s">
        <v>77</v>
      </c>
      <c r="D13" s="2" t="s">
        <v>82</v>
      </c>
    </row>
    <row r="14" spans="1:4" x14ac:dyDescent="0.25">
      <c r="A14" t="s">
        <v>79</v>
      </c>
      <c r="B14">
        <v>5</v>
      </c>
    </row>
    <row r="15" spans="1:4" x14ac:dyDescent="0.25">
      <c r="A15" t="s">
        <v>80</v>
      </c>
      <c r="B15">
        <v>10</v>
      </c>
    </row>
    <row r="16" spans="1:4" x14ac:dyDescent="0.25">
      <c r="A16" s="3" t="s">
        <v>35</v>
      </c>
      <c r="B16">
        <v>15</v>
      </c>
    </row>
    <row r="17" spans="1:12" x14ac:dyDescent="0.25">
      <c r="A17" s="3" t="s">
        <v>36</v>
      </c>
      <c r="B17">
        <v>12</v>
      </c>
    </row>
    <row r="18" spans="1:12" x14ac:dyDescent="0.25">
      <c r="A18" s="3" t="s">
        <v>33</v>
      </c>
      <c r="B18">
        <v>13</v>
      </c>
    </row>
    <row r="19" spans="1:12" x14ac:dyDescent="0.25">
      <c r="A19" s="3" t="s">
        <v>34</v>
      </c>
      <c r="B19">
        <v>43</v>
      </c>
    </row>
    <row r="21" spans="1:12" x14ac:dyDescent="0.25">
      <c r="A21" t="s">
        <v>81</v>
      </c>
      <c r="B21">
        <f>(B14-B15)/(SQRT((B16*B16/B18)+(B17*B17/B19)))</f>
        <v>-1.1001232049537768</v>
      </c>
    </row>
    <row r="22" spans="1:12" x14ac:dyDescent="0.25">
      <c r="A22" s="2" t="s">
        <v>104</v>
      </c>
    </row>
    <row r="23" spans="1:12" x14ac:dyDescent="0.25">
      <c r="A23" t="s">
        <v>87</v>
      </c>
    </row>
    <row r="24" spans="1:12" x14ac:dyDescent="0.25">
      <c r="A24" t="s">
        <v>33</v>
      </c>
      <c r="B24">
        <v>21</v>
      </c>
      <c r="I24">
        <v>2</v>
      </c>
      <c r="J24">
        <v>4</v>
      </c>
    </row>
    <row r="25" spans="1:12" x14ac:dyDescent="0.25">
      <c r="A25" t="s">
        <v>34</v>
      </c>
      <c r="B25">
        <v>25</v>
      </c>
      <c r="I25">
        <v>7</v>
      </c>
      <c r="J25">
        <v>15</v>
      </c>
    </row>
    <row r="26" spans="1:12" x14ac:dyDescent="0.25">
      <c r="A26" t="s">
        <v>83</v>
      </c>
      <c r="B26">
        <v>1.3</v>
      </c>
      <c r="I26">
        <v>3</v>
      </c>
      <c r="J26">
        <v>5</v>
      </c>
    </row>
    <row r="27" spans="1:12" x14ac:dyDescent="0.25">
      <c r="A27" t="s">
        <v>84</v>
      </c>
      <c r="B27">
        <v>1.1599999999999999</v>
      </c>
      <c r="I27">
        <v>8</v>
      </c>
      <c r="J27">
        <v>3</v>
      </c>
    </row>
    <row r="28" spans="1:12" x14ac:dyDescent="0.25">
      <c r="I28">
        <v>9</v>
      </c>
      <c r="J28">
        <v>4</v>
      </c>
    </row>
    <row r="29" spans="1:12" x14ac:dyDescent="0.25">
      <c r="A29" t="s">
        <v>92</v>
      </c>
      <c r="B29">
        <f>(((B24-1)*B26*B26+(B25-1)*B27*B27))/(B24+B25-2)</f>
        <v>1.5021454545454547</v>
      </c>
      <c r="I29">
        <v>15</v>
      </c>
      <c r="J29">
        <v>4</v>
      </c>
    </row>
    <row r="30" spans="1:12" x14ac:dyDescent="0.25">
      <c r="I30">
        <v>7</v>
      </c>
      <c r="J30">
        <v>4</v>
      </c>
    </row>
    <row r="31" spans="1:12" x14ac:dyDescent="0.25">
      <c r="A31" t="s">
        <v>85</v>
      </c>
      <c r="I31">
        <v>2</v>
      </c>
      <c r="J31">
        <v>8</v>
      </c>
    </row>
    <row r="32" spans="1:12" x14ac:dyDescent="0.25">
      <c r="A32" t="s">
        <v>79</v>
      </c>
      <c r="B32">
        <v>3.27</v>
      </c>
      <c r="I32">
        <f>AVERAGE(I24:I31)</f>
        <v>6.625</v>
      </c>
      <c r="J32">
        <f>AVERAGE(J24:J31)</f>
        <v>5.875</v>
      </c>
      <c r="K32">
        <f>_xlfn.STDEV.S(I24:I31)</f>
        <v>4.3732139211339751</v>
      </c>
      <c r="L32">
        <f>_xlfn.STDEV.S(J24:J31)</f>
        <v>3.9798600118956085</v>
      </c>
    </row>
    <row r="33" spans="1:2" x14ac:dyDescent="0.25">
      <c r="A33" t="s">
        <v>80</v>
      </c>
      <c r="B33">
        <v>2.5299999999999998</v>
      </c>
    </row>
    <row r="34" spans="1:2" x14ac:dyDescent="0.25">
      <c r="A34" t="s">
        <v>33</v>
      </c>
      <c r="B34">
        <v>21</v>
      </c>
    </row>
    <row r="35" spans="1:2" x14ac:dyDescent="0.25">
      <c r="A35" t="s">
        <v>34</v>
      </c>
      <c r="B35">
        <v>25</v>
      </c>
    </row>
    <row r="37" spans="1:2" x14ac:dyDescent="0.25">
      <c r="A37" t="s">
        <v>86</v>
      </c>
      <c r="B37" s="5">
        <f>(B32-B33)/SQRT(B29*(1/B34+1/B35))</f>
        <v>2.0397477447024426</v>
      </c>
    </row>
    <row r="39" spans="1:2" x14ac:dyDescent="0.25">
      <c r="A39" s="2" t="s">
        <v>88</v>
      </c>
    </row>
    <row r="40" spans="1:2" x14ac:dyDescent="0.25">
      <c r="A40" t="s">
        <v>79</v>
      </c>
      <c r="B40">
        <v>1</v>
      </c>
    </row>
    <row r="41" spans="1:2" x14ac:dyDescent="0.25">
      <c r="A41" t="s">
        <v>80</v>
      </c>
      <c r="B41">
        <v>2</v>
      </c>
    </row>
    <row r="42" spans="1:2" x14ac:dyDescent="0.25">
      <c r="A42" t="s">
        <v>89</v>
      </c>
      <c r="B42">
        <v>3</v>
      </c>
    </row>
    <row r="43" spans="1:2" x14ac:dyDescent="0.25">
      <c r="A43" t="s">
        <v>84</v>
      </c>
      <c r="B43">
        <v>4</v>
      </c>
    </row>
    <row r="44" spans="1:2" x14ac:dyDescent="0.25">
      <c r="A44" t="s">
        <v>33</v>
      </c>
      <c r="B44">
        <v>5</v>
      </c>
    </row>
    <row r="45" spans="1:2" x14ac:dyDescent="0.25">
      <c r="A45" t="s">
        <v>34</v>
      </c>
      <c r="B45">
        <v>6</v>
      </c>
    </row>
    <row r="46" spans="1:2" x14ac:dyDescent="0.25">
      <c r="A46" t="s">
        <v>85</v>
      </c>
    </row>
    <row r="47" spans="1:2" x14ac:dyDescent="0.25">
      <c r="A47" t="s">
        <v>86</v>
      </c>
      <c r="B47">
        <f>(B40-B41)/SQRT(B42^2/B44+B43^2/B45)</f>
        <v>-0.47316022340738384</v>
      </c>
    </row>
    <row r="48" spans="1:2" x14ac:dyDescent="0.25">
      <c r="A48" t="s">
        <v>90</v>
      </c>
    </row>
    <row r="49" spans="1:2" x14ac:dyDescent="0.25">
      <c r="A49" t="s">
        <v>91</v>
      </c>
      <c r="B49">
        <f>((B42^2/B44+B43^2/B45)^2)/((B42^2/B44)^2)/(B44-1)+((B43^2/B45)^2)/(B45-1)</f>
        <v>2.9616598079561038</v>
      </c>
    </row>
    <row r="51" spans="1:2" x14ac:dyDescent="0.25">
      <c r="A51" s="2" t="s">
        <v>93</v>
      </c>
    </row>
    <row r="52" spans="1:2" x14ac:dyDescent="0.25">
      <c r="A52" t="s">
        <v>78</v>
      </c>
      <c r="B52">
        <v>36</v>
      </c>
    </row>
    <row r="53" spans="1:2" x14ac:dyDescent="0.25">
      <c r="A53" t="s">
        <v>94</v>
      </c>
      <c r="B53">
        <v>31</v>
      </c>
    </row>
    <row r="54" spans="1:2" x14ac:dyDescent="0.25">
      <c r="A54" t="s">
        <v>33</v>
      </c>
      <c r="B54">
        <v>72</v>
      </c>
    </row>
    <row r="55" spans="1:2" x14ac:dyDescent="0.25">
      <c r="A55" t="s">
        <v>34</v>
      </c>
      <c r="B55">
        <v>50</v>
      </c>
    </row>
    <row r="57" spans="1:2" x14ac:dyDescent="0.25">
      <c r="A57" t="s">
        <v>95</v>
      </c>
      <c r="B57">
        <f>(B52+B53)/(B54+B55)</f>
        <v>0.54918032786885251</v>
      </c>
    </row>
    <row r="58" spans="1:2" x14ac:dyDescent="0.25">
      <c r="A58" t="s">
        <v>96</v>
      </c>
    </row>
    <row r="59" spans="1:2" x14ac:dyDescent="0.25">
      <c r="A59" t="s">
        <v>81</v>
      </c>
      <c r="B59">
        <f>(B52/B54-B53/B55)/SQRT(B57*(1-B57)*(1/B54+1/B55))</f>
        <v>-1.3100674783495072</v>
      </c>
    </row>
    <row r="62" spans="1:2" x14ac:dyDescent="0.25">
      <c r="A62" s="2" t="s">
        <v>97</v>
      </c>
    </row>
    <row r="63" spans="1:2" x14ac:dyDescent="0.25">
      <c r="A63" t="s">
        <v>89</v>
      </c>
      <c r="B63">
        <v>15.2</v>
      </c>
    </row>
    <row r="64" spans="1:2" x14ac:dyDescent="0.25">
      <c r="A64" t="s">
        <v>98</v>
      </c>
      <c r="B64">
        <v>10.1</v>
      </c>
    </row>
    <row r="65" spans="1:2" x14ac:dyDescent="0.25">
      <c r="A65" t="s">
        <v>101</v>
      </c>
      <c r="B65">
        <v>0.1</v>
      </c>
    </row>
    <row r="66" spans="1:2" x14ac:dyDescent="0.25">
      <c r="A66" t="s">
        <v>99</v>
      </c>
      <c r="B66">
        <f>B63^2/B64^2</f>
        <v>2.2648759925497504</v>
      </c>
    </row>
    <row r="68" spans="1:2" x14ac:dyDescent="0.25">
      <c r="A68" t="s">
        <v>33</v>
      </c>
      <c r="B68">
        <v>12</v>
      </c>
    </row>
    <row r="69" spans="1:2" x14ac:dyDescent="0.25">
      <c r="A69" t="s">
        <v>34</v>
      </c>
      <c r="B69">
        <v>20</v>
      </c>
    </row>
    <row r="71" spans="1:2" x14ac:dyDescent="0.25">
      <c r="A71" t="s">
        <v>100</v>
      </c>
    </row>
    <row r="72" spans="1:2" x14ac:dyDescent="0.25">
      <c r="A72">
        <f>_xlfn.F.INV(B65/2,B68-1,B69-1)</f>
        <v>0.37621138608905585</v>
      </c>
      <c r="B72">
        <f>_xlfn.F.INV.RT(B65/2,B68-1,B69-1)</f>
        <v>2.3402104406025011</v>
      </c>
    </row>
    <row r="74" spans="1:2" x14ac:dyDescent="0.25">
      <c r="A74" t="s">
        <v>102</v>
      </c>
    </row>
    <row r="75" spans="1:2" x14ac:dyDescent="0.25">
      <c r="B75">
        <f>_xlfn.F.INV.RT(B65,B68-1,B69-1)</f>
        <v>1.9320525500961729</v>
      </c>
    </row>
    <row r="77" spans="1:2" x14ac:dyDescent="0.25">
      <c r="A77" t="s">
        <v>103</v>
      </c>
    </row>
    <row r="78" spans="1:2" x14ac:dyDescent="0.25">
      <c r="A78">
        <f>_xlfn.F.INV(B65,B68-1,B69-1)</f>
        <v>0.46944491513046688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MOSTLY CONFIDENCE INV</vt:lpstr>
      <vt:lpstr>ONE SAMPLE</vt:lpstr>
      <vt:lpstr>2 SMPL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Wirajaya</dc:creator>
  <cp:lastModifiedBy>Irwin</cp:lastModifiedBy>
  <dcterms:created xsi:type="dcterms:W3CDTF">2021-01-10T07:13:05Z</dcterms:created>
  <dcterms:modified xsi:type="dcterms:W3CDTF">2021-01-10T16:20:27Z</dcterms:modified>
</cp:coreProperties>
</file>