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ssalimon/Desktop/Grad School/Spring I - 2023/FINA 5320/Mini-Case #2/"/>
    </mc:Choice>
  </mc:AlternateContent>
  <xr:revisionPtr revIDLastSave="0" documentId="13_ncr:1_{7CD48B78-91EF-1449-B791-DCA9BDFE883A}" xr6:coauthVersionLast="47" xr6:coauthVersionMax="47" xr10:uidLastSave="{00000000-0000-0000-0000-000000000000}"/>
  <bookViews>
    <workbookView xWindow="2300" yWindow="760" windowWidth="27020" windowHeight="17040" xr2:uid="{00000000-000D-0000-FFFF-FFFF00000000}"/>
  </bookViews>
  <sheets>
    <sheet name="Mini-Case 2 Exhibit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" l="1"/>
  <c r="C58" i="2"/>
  <c r="D53" i="2"/>
  <c r="E53" i="2"/>
  <c r="F53" i="2"/>
  <c r="G53" i="2"/>
  <c r="C57" i="2" s="1"/>
  <c r="C59" i="2" s="1"/>
  <c r="C53" i="2"/>
  <c r="D50" i="2"/>
  <c r="E50" i="2"/>
  <c r="F50" i="2"/>
  <c r="G50" i="2"/>
  <c r="C50" i="2"/>
  <c r="D48" i="2"/>
  <c r="E48" i="2"/>
  <c r="F48" i="2"/>
  <c r="G48" i="2"/>
  <c r="C48" i="2"/>
  <c r="D47" i="2"/>
  <c r="E47" i="2"/>
  <c r="F47" i="2"/>
  <c r="G47" i="2"/>
  <c r="C47" i="2"/>
  <c r="D46" i="2"/>
  <c r="E46" i="2"/>
  <c r="F46" i="2"/>
  <c r="G46" i="2"/>
  <c r="C46" i="2"/>
  <c r="D45" i="2"/>
  <c r="E45" i="2"/>
  <c r="F45" i="2"/>
  <c r="G45" i="2"/>
  <c r="C45" i="2"/>
  <c r="D44" i="2"/>
  <c r="E44" i="2"/>
  <c r="F44" i="2"/>
  <c r="G44" i="2"/>
  <c r="C44" i="2"/>
  <c r="D43" i="2"/>
  <c r="E43" i="2"/>
  <c r="F43" i="2"/>
  <c r="G43" i="2"/>
  <c r="C43" i="2"/>
  <c r="D42" i="2"/>
  <c r="E42" i="2"/>
  <c r="F42" i="2"/>
  <c r="G42" i="2"/>
  <c r="C42" i="2"/>
  <c r="D41" i="2"/>
  <c r="E41" i="2"/>
  <c r="F41" i="2"/>
  <c r="G41" i="2"/>
  <c r="C41" i="2"/>
  <c r="F35" i="2"/>
  <c r="F34" i="2"/>
  <c r="C33" i="2"/>
  <c r="C31" i="2"/>
  <c r="F33" i="2"/>
  <c r="F31" i="2" s="1"/>
  <c r="C26" i="2"/>
  <c r="C27" i="2"/>
  <c r="F25" i="2"/>
  <c r="F27" i="2" s="1"/>
  <c r="F13" i="2"/>
  <c r="C25" i="2" s="1"/>
  <c r="C28" i="2" s="1"/>
  <c r="F26" i="2" s="1"/>
  <c r="F28" i="2" l="1"/>
  <c r="C32" i="2" s="1"/>
  <c r="C34" i="2" s="1"/>
  <c r="F32" i="2" s="1"/>
  <c r="F36" i="2" s="1"/>
</calcChain>
</file>

<file path=xl/sharedStrings.xml><?xml version="1.0" encoding="utf-8"?>
<sst xmlns="http://schemas.openxmlformats.org/spreadsheetml/2006/main" count="65" uniqueCount="57">
  <si>
    <t>Sales Revenue</t>
  </si>
  <si>
    <t>Depreciation</t>
  </si>
  <si>
    <t>Levered Beta</t>
  </si>
  <si>
    <t>Debt to Equity</t>
  </si>
  <si>
    <t>Unlevered Beta</t>
  </si>
  <si>
    <t>Table 1: Forecast Data Artforever.com</t>
  </si>
  <si>
    <t>Year</t>
  </si>
  <si>
    <t>Investment in CapEx and NWC</t>
  </si>
  <si>
    <t>Interest Payments</t>
  </si>
  <si>
    <t>Table 2: Artforever.com Market Data</t>
  </si>
  <si>
    <t>Current YTM on 30 year treasury bonds</t>
  </si>
  <si>
    <t>Current YTM on 3 month treasury bills</t>
  </si>
  <si>
    <t>Most recent 1-year return on the S&amp;P 500</t>
  </si>
  <si>
    <t>Estimate of expected average return on the S&amp;P 500 over the next 30 years</t>
  </si>
  <si>
    <t>Additional Given Information</t>
  </si>
  <si>
    <t>Artforever.com</t>
  </si>
  <si>
    <t>Long-Term Debt (market value)</t>
  </si>
  <si>
    <t>Long-Term Debt Coupon Rate</t>
  </si>
  <si>
    <t>COGS (% of sales revenues)</t>
  </si>
  <si>
    <t>SG&amp;A (% of sales revenues)</t>
  </si>
  <si>
    <t>Tax Rate</t>
  </si>
  <si>
    <t>Cost of Borrowing</t>
  </si>
  <si>
    <t>Target Debt to Value Ratio</t>
  </si>
  <si>
    <t>Perpetual Growth Rate</t>
  </si>
  <si>
    <t>ArtToday.net</t>
  </si>
  <si>
    <t>Equity Beta</t>
  </si>
  <si>
    <t>Exhibit 1: Discount Rate to Find Value of Artforever.com</t>
  </si>
  <si>
    <t>Beta</t>
  </si>
  <si>
    <t>Artforever.com Beta</t>
  </si>
  <si>
    <t>Marginal Tax Rate</t>
  </si>
  <si>
    <t>Target Debt to Equity Ratio</t>
  </si>
  <si>
    <t>ArtToday.net Beta (Comparable Firm)</t>
  </si>
  <si>
    <t>Target Debt/Equity Ratio</t>
  </si>
  <si>
    <t>Weight of Equity</t>
  </si>
  <si>
    <t>Cost of Equity</t>
  </si>
  <si>
    <t>Weight of Debt</t>
  </si>
  <si>
    <t>Cost of Debt</t>
  </si>
  <si>
    <t>Artforever.com Cost of Equity (CAPM)</t>
  </si>
  <si>
    <t>Risk-Free Rate</t>
  </si>
  <si>
    <t>Expected Return on Market</t>
  </si>
  <si>
    <t>Discount Rate</t>
  </si>
  <si>
    <t>Artforever.com Discount Rate (WACC)</t>
  </si>
  <si>
    <t>Exhibit 2: Relevant Cash Flows for Valuing Artforever.com</t>
  </si>
  <si>
    <t>Revenue</t>
  </si>
  <si>
    <t>Less: Cost of Goods Sold (COGS)</t>
  </si>
  <si>
    <t>Less: Selling, General and Administrative (SG&amp;A) Expenses</t>
  </si>
  <si>
    <t>Less: Taxes (at 40%)</t>
  </si>
  <si>
    <t>Earnings Before Interests and Taxes (EBIT)</t>
  </si>
  <si>
    <t>Earnings Before Interests After Taxes (EBIAT)</t>
  </si>
  <si>
    <t>Add: Depreciation</t>
  </si>
  <si>
    <t>Free Cash Flows</t>
  </si>
  <si>
    <t>Terminal Value</t>
  </si>
  <si>
    <t>Total Cash Flows</t>
  </si>
  <si>
    <t>Less: Investments in CapEx &amp; NWC</t>
  </si>
  <si>
    <t>Exhibit 3: Artforever.com Equity Value</t>
  </si>
  <si>
    <t>Equity Value</t>
  </si>
  <si>
    <t>Enterprise Value (NPV of 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</si>
</sst>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8" fontId="0" fillId="0" borderId="0" xfId="0" applyNumberFormat="1"/>
    <xf numFmtId="0" fontId="0" fillId="0" borderId="8" xfId="0" applyBorder="1"/>
    <xf numFmtId="0" fontId="0" fillId="0" borderId="8" xfId="0" applyBorder="1" applyAlignment="1">
      <alignment horizontal="center"/>
    </xf>
    <xf numFmtId="44" fontId="0" fillId="0" borderId="8" xfId="1" applyFont="1" applyBorder="1"/>
    <xf numFmtId="0" fontId="0" fillId="0" borderId="8" xfId="0" applyBorder="1" applyAlignment="1">
      <alignment wrapText="1"/>
    </xf>
    <xf numFmtId="10" fontId="0" fillId="0" borderId="8" xfId="2" applyNumberFormat="1" applyFont="1" applyBorder="1"/>
    <xf numFmtId="10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0" fillId="0" borderId="4" xfId="0" applyBorder="1"/>
    <xf numFmtId="0" fontId="0" fillId="0" borderId="8" xfId="2" applyNumberFormat="1" applyFont="1" applyBorder="1"/>
    <xf numFmtId="165" fontId="0" fillId="0" borderId="0" xfId="0" applyNumberFormat="1"/>
    <xf numFmtId="164" fontId="0" fillId="0" borderId="8" xfId="0" applyNumberFormat="1" applyBorder="1"/>
    <xf numFmtId="165" fontId="0" fillId="0" borderId="8" xfId="0" applyNumberFormat="1" applyBorder="1"/>
    <xf numFmtId="164" fontId="0" fillId="0" borderId="8" xfId="2" applyNumberFormat="1" applyFont="1" applyBorder="1"/>
    <xf numFmtId="0" fontId="2" fillId="0" borderId="8" xfId="0" applyFont="1" applyBorder="1"/>
    <xf numFmtId="165" fontId="0" fillId="4" borderId="8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4" fontId="0" fillId="0" borderId="0" xfId="0" applyNumberFormat="1"/>
    <xf numFmtId="44" fontId="0" fillId="0" borderId="9" xfId="0" applyNumberFormat="1" applyBorder="1"/>
    <xf numFmtId="44" fontId="0" fillId="0" borderId="12" xfId="0" applyNumberFormat="1" applyBorder="1"/>
    <xf numFmtId="44" fontId="0" fillId="0" borderId="7" xfId="0" applyNumberFormat="1" applyBorder="1"/>
    <xf numFmtId="44" fontId="0" fillId="0" borderId="4" xfId="0" applyNumberFormat="1" applyBorder="1"/>
    <xf numFmtId="44" fontId="0" fillId="0" borderId="13" xfId="0" applyNumberFormat="1" applyBorder="1"/>
    <xf numFmtId="0" fontId="0" fillId="0" borderId="1" xfId="0" applyBorder="1" applyAlignment="1">
      <alignment horizontal="center"/>
    </xf>
    <xf numFmtId="44" fontId="0" fillId="4" borderId="8" xfId="0" applyNumberFormat="1" applyFill="1" applyBorder="1"/>
    <xf numFmtId="44" fontId="0" fillId="4" borderId="1" xfId="0" applyNumberFormat="1" applyFill="1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/>
    <xf numFmtId="0" fontId="0" fillId="0" borderId="14" xfId="0" applyBorder="1" applyAlignment="1">
      <alignment wrapText="1"/>
    </xf>
    <xf numFmtId="0" fontId="0" fillId="0" borderId="14" xfId="0" applyBorder="1"/>
    <xf numFmtId="8" fontId="0" fillId="4" borderId="2" xfId="0" applyNumberFormat="1" applyFill="1" applyBorder="1"/>
    <xf numFmtId="0" fontId="0" fillId="0" borderId="15" xfId="0" applyBorder="1"/>
    <xf numFmtId="44" fontId="0" fillId="0" borderId="15" xfId="0" applyNumberFormat="1" applyBorder="1"/>
    <xf numFmtId="0" fontId="2" fillId="0" borderId="2" xfId="0" applyFont="1" applyBorder="1"/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AFCB-CD75-4EF6-8BE6-0F2EC8D78CFB}">
  <dimension ref="B3:J59"/>
  <sheetViews>
    <sheetView tabSelected="1" zoomScale="150" zoomScaleNormal="150" workbookViewId="0">
      <selection activeCell="D64" sqref="D64"/>
    </sheetView>
  </sheetViews>
  <sheetFormatPr baseColWidth="10" defaultColWidth="8.83203125" defaultRowHeight="15" x14ac:dyDescent="0.2"/>
  <cols>
    <col min="2" max="2" width="25.33203125" customWidth="1"/>
    <col min="3" max="3" width="19.1640625" bestFit="1" customWidth="1"/>
    <col min="4" max="4" width="13.6640625" bestFit="1" customWidth="1"/>
    <col min="5" max="5" width="22.1640625" bestFit="1" customWidth="1"/>
    <col min="6" max="6" width="20.1640625" bestFit="1" customWidth="1"/>
    <col min="7" max="8" width="14.6640625" bestFit="1" customWidth="1"/>
    <col min="9" max="9" width="30.83203125" customWidth="1"/>
  </cols>
  <sheetData>
    <row r="3" spans="2:10" x14ac:dyDescent="0.2">
      <c r="B3" s="40" t="s">
        <v>5</v>
      </c>
      <c r="C3" s="40"/>
      <c r="D3" s="40"/>
      <c r="E3" s="40"/>
      <c r="F3" s="40"/>
      <c r="G3" s="40"/>
      <c r="I3" s="40" t="s">
        <v>9</v>
      </c>
      <c r="J3" s="40"/>
    </row>
    <row r="4" spans="2:10" ht="15" customHeight="1" x14ac:dyDescent="0.2">
      <c r="B4" s="2" t="s">
        <v>6</v>
      </c>
      <c r="C4" s="3">
        <v>2018</v>
      </c>
      <c r="D4" s="3">
        <v>2019</v>
      </c>
      <c r="E4" s="3">
        <v>2020</v>
      </c>
      <c r="F4" s="3">
        <v>2021</v>
      </c>
      <c r="G4" s="3">
        <v>2022</v>
      </c>
      <c r="I4" s="5" t="s">
        <v>10</v>
      </c>
      <c r="J4" s="6">
        <v>2.5000000000000001E-2</v>
      </c>
    </row>
    <row r="5" spans="2:10" ht="15" customHeight="1" x14ac:dyDescent="0.2">
      <c r="B5" s="2" t="s">
        <v>0</v>
      </c>
      <c r="C5" s="4">
        <v>1000000</v>
      </c>
      <c r="D5" s="4">
        <v>1250000</v>
      </c>
      <c r="E5" s="4">
        <v>1875000</v>
      </c>
      <c r="F5" s="4">
        <v>2100000</v>
      </c>
      <c r="G5" s="4">
        <v>3750000</v>
      </c>
      <c r="I5" s="5" t="s">
        <v>11</v>
      </c>
      <c r="J5" s="6">
        <v>0.02</v>
      </c>
    </row>
    <row r="6" spans="2:10" ht="15" customHeight="1" x14ac:dyDescent="0.2">
      <c r="B6" s="2" t="s">
        <v>7</v>
      </c>
      <c r="C6" s="4">
        <v>25000</v>
      </c>
      <c r="D6" s="4">
        <v>55000</v>
      </c>
      <c r="E6" s="4">
        <v>170000</v>
      </c>
      <c r="F6" s="4">
        <v>80000</v>
      </c>
      <c r="G6" s="4">
        <v>80000</v>
      </c>
      <c r="I6" s="5" t="s">
        <v>12</v>
      </c>
      <c r="J6" s="6">
        <v>5.2999999999999999E-2</v>
      </c>
    </row>
    <row r="7" spans="2:10" ht="30" customHeight="1" x14ac:dyDescent="0.2">
      <c r="B7" s="2" t="s">
        <v>1</v>
      </c>
      <c r="C7" s="4">
        <v>15000</v>
      </c>
      <c r="D7" s="4">
        <v>30000</v>
      </c>
      <c r="E7" s="4">
        <v>50000</v>
      </c>
      <c r="F7" s="4">
        <v>72000</v>
      </c>
      <c r="G7" s="4">
        <v>80000</v>
      </c>
      <c r="I7" s="5" t="s">
        <v>13</v>
      </c>
      <c r="J7" s="6">
        <v>0.08</v>
      </c>
    </row>
    <row r="8" spans="2:10" x14ac:dyDescent="0.2">
      <c r="B8" s="2" t="s">
        <v>8</v>
      </c>
      <c r="C8" s="4">
        <v>94400</v>
      </c>
      <c r="D8" s="4">
        <v>101400</v>
      </c>
      <c r="E8" s="4">
        <v>108600</v>
      </c>
      <c r="F8" s="4">
        <v>115900</v>
      </c>
      <c r="G8" s="4">
        <v>122400</v>
      </c>
    </row>
    <row r="11" spans="2:10" x14ac:dyDescent="0.2">
      <c r="B11" s="41" t="s">
        <v>14</v>
      </c>
      <c r="C11" s="42"/>
      <c r="D11" s="42"/>
      <c r="E11" s="42"/>
      <c r="F11" s="43"/>
    </row>
    <row r="12" spans="2:10" x14ac:dyDescent="0.2">
      <c r="B12" s="44" t="s">
        <v>15</v>
      </c>
      <c r="C12" s="45"/>
      <c r="E12" s="44" t="s">
        <v>24</v>
      </c>
      <c r="F12" s="45"/>
    </row>
    <row r="13" spans="2:10" x14ac:dyDescent="0.2">
      <c r="B13" s="2" t="s">
        <v>16</v>
      </c>
      <c r="C13" s="4">
        <v>1475000</v>
      </c>
      <c r="E13" s="2" t="s">
        <v>20</v>
      </c>
      <c r="F13" s="7">
        <f>C17</f>
        <v>0.4</v>
      </c>
    </row>
    <row r="14" spans="2:10" x14ac:dyDescent="0.2">
      <c r="B14" s="2" t="s">
        <v>17</v>
      </c>
      <c r="C14" s="6">
        <v>7.0000000000000007E-2</v>
      </c>
      <c r="E14" s="2" t="s">
        <v>30</v>
      </c>
      <c r="F14" s="6">
        <v>0.75</v>
      </c>
    </row>
    <row r="15" spans="2:10" x14ac:dyDescent="0.2">
      <c r="B15" s="2" t="s">
        <v>18</v>
      </c>
      <c r="C15" s="6">
        <v>0.42</v>
      </c>
      <c r="E15" s="2" t="s">
        <v>25</v>
      </c>
      <c r="F15" s="11">
        <v>1.5</v>
      </c>
    </row>
    <row r="16" spans="2:10" x14ac:dyDescent="0.2">
      <c r="B16" s="2" t="s">
        <v>19</v>
      </c>
      <c r="C16" s="6">
        <v>0.15</v>
      </c>
      <c r="F16" s="8"/>
    </row>
    <row r="17" spans="2:6" x14ac:dyDescent="0.2">
      <c r="B17" s="2" t="s">
        <v>20</v>
      </c>
      <c r="C17" s="6">
        <v>0.4</v>
      </c>
      <c r="F17" s="8"/>
    </row>
    <row r="18" spans="2:6" x14ac:dyDescent="0.2">
      <c r="B18" s="2" t="s">
        <v>21</v>
      </c>
      <c r="C18" s="6">
        <v>6.2E-2</v>
      </c>
      <c r="F18" s="8"/>
    </row>
    <row r="19" spans="2:6" x14ac:dyDescent="0.2">
      <c r="B19" s="2" t="s">
        <v>22</v>
      </c>
      <c r="C19" s="6">
        <v>0.15</v>
      </c>
      <c r="F19" s="8"/>
    </row>
    <row r="20" spans="2:6" x14ac:dyDescent="0.2">
      <c r="B20" s="2" t="s">
        <v>23</v>
      </c>
      <c r="C20" s="6">
        <v>0.02</v>
      </c>
      <c r="D20" s="9"/>
      <c r="E20" s="9"/>
      <c r="F20" s="10"/>
    </row>
    <row r="23" spans="2:6" x14ac:dyDescent="0.2">
      <c r="B23" s="40" t="s">
        <v>26</v>
      </c>
      <c r="C23" s="40"/>
      <c r="D23" s="40"/>
      <c r="E23" s="40"/>
      <c r="F23" s="40"/>
    </row>
    <row r="24" spans="2:6" x14ac:dyDescent="0.2">
      <c r="B24" s="46" t="s">
        <v>31</v>
      </c>
      <c r="C24" s="46"/>
      <c r="E24" s="46" t="s">
        <v>28</v>
      </c>
      <c r="F24" s="46"/>
    </row>
    <row r="25" spans="2:6" x14ac:dyDescent="0.2">
      <c r="B25" s="2" t="s">
        <v>29</v>
      </c>
      <c r="C25" s="7">
        <f>F13</f>
        <v>0.4</v>
      </c>
      <c r="E25" s="2" t="s">
        <v>22</v>
      </c>
      <c r="F25" s="7">
        <f>C19</f>
        <v>0.15</v>
      </c>
    </row>
    <row r="26" spans="2:6" x14ac:dyDescent="0.2">
      <c r="B26" s="2" t="s">
        <v>2</v>
      </c>
      <c r="C26" s="2">
        <f>F15</f>
        <v>1.5</v>
      </c>
      <c r="E26" s="2" t="s">
        <v>4</v>
      </c>
      <c r="F26" s="13">
        <f>C28</f>
        <v>1.0344827586206897</v>
      </c>
    </row>
    <row r="27" spans="2:6" x14ac:dyDescent="0.2">
      <c r="B27" s="2" t="s">
        <v>3</v>
      </c>
      <c r="C27" s="7">
        <f>F14</f>
        <v>0.75</v>
      </c>
      <c r="E27" s="2" t="s">
        <v>32</v>
      </c>
      <c r="F27" s="15">
        <f>F25/(1-F25)</f>
        <v>0.17647058823529413</v>
      </c>
    </row>
    <row r="28" spans="2:6" x14ac:dyDescent="0.2">
      <c r="B28" s="2" t="s">
        <v>4</v>
      </c>
      <c r="C28" s="13">
        <f>C26/(1+C27*(1-C25))</f>
        <v>1.0344827586206897</v>
      </c>
      <c r="E28" s="2" t="s">
        <v>2</v>
      </c>
      <c r="F28" s="13">
        <f>F26*(1+F27*(1-C25))</f>
        <v>1.1440162271805274</v>
      </c>
    </row>
    <row r="29" spans="2:6" x14ac:dyDescent="0.2">
      <c r="B29" s="18"/>
      <c r="F29" s="8"/>
    </row>
    <row r="30" spans="2:6" x14ac:dyDescent="0.2">
      <c r="B30" s="47" t="s">
        <v>37</v>
      </c>
      <c r="C30" s="47"/>
      <c r="E30" s="47" t="s">
        <v>41</v>
      </c>
      <c r="F30" s="47"/>
    </row>
    <row r="31" spans="2:6" x14ac:dyDescent="0.2">
      <c r="B31" s="2" t="s">
        <v>38</v>
      </c>
      <c r="C31" s="7">
        <f>J4</f>
        <v>2.5000000000000001E-2</v>
      </c>
      <c r="E31" s="2" t="s">
        <v>33</v>
      </c>
      <c r="F31" s="7">
        <f>1-F33</f>
        <v>0.85</v>
      </c>
    </row>
    <row r="32" spans="2:6" x14ac:dyDescent="0.2">
      <c r="B32" s="2" t="s">
        <v>27</v>
      </c>
      <c r="C32" s="13">
        <f>F28</f>
        <v>1.1440162271805274</v>
      </c>
      <c r="E32" s="2" t="s">
        <v>34</v>
      </c>
      <c r="F32" s="14">
        <f>C34</f>
        <v>8.7920892494929015E-2</v>
      </c>
    </row>
    <row r="33" spans="2:7" x14ac:dyDescent="0.2">
      <c r="B33" s="2" t="s">
        <v>39</v>
      </c>
      <c r="C33" s="7">
        <f>J7</f>
        <v>0.08</v>
      </c>
      <c r="E33" s="2" t="s">
        <v>35</v>
      </c>
      <c r="F33" s="7">
        <f>C19</f>
        <v>0.15</v>
      </c>
    </row>
    <row r="34" spans="2:7" x14ac:dyDescent="0.2">
      <c r="B34" s="2" t="s">
        <v>34</v>
      </c>
      <c r="C34" s="14">
        <f>C31+C32*(C33-C31)</f>
        <v>8.7920892494929015E-2</v>
      </c>
      <c r="E34" s="2" t="s">
        <v>36</v>
      </c>
      <c r="F34" s="7">
        <f>C18</f>
        <v>6.2E-2</v>
      </c>
    </row>
    <row r="35" spans="2:7" x14ac:dyDescent="0.2">
      <c r="B35" s="18"/>
      <c r="E35" s="2" t="s">
        <v>20</v>
      </c>
      <c r="F35" s="7">
        <f>C17</f>
        <v>0.4</v>
      </c>
    </row>
    <row r="36" spans="2:7" x14ac:dyDescent="0.2">
      <c r="B36" s="19"/>
      <c r="C36" s="9"/>
      <c r="D36" s="9"/>
      <c r="E36" s="16" t="s">
        <v>40</v>
      </c>
      <c r="F36" s="17">
        <f>(F31*F32)+(F33*F34)*(1-F35)</f>
        <v>8.0312758620689664E-2</v>
      </c>
    </row>
    <row r="39" spans="2:7" x14ac:dyDescent="0.2">
      <c r="B39" s="41" t="s">
        <v>42</v>
      </c>
      <c r="C39" s="42"/>
      <c r="D39" s="42"/>
      <c r="E39" s="42"/>
      <c r="F39" s="42"/>
      <c r="G39" s="43"/>
    </row>
    <row r="40" spans="2:7" x14ac:dyDescent="0.2">
      <c r="B40" s="2" t="s">
        <v>6</v>
      </c>
      <c r="C40" s="27">
        <v>2018</v>
      </c>
      <c r="D40" s="3">
        <v>2019</v>
      </c>
      <c r="E40" s="3">
        <v>2020</v>
      </c>
      <c r="F40" s="3">
        <v>2021</v>
      </c>
      <c r="G40" s="3">
        <v>2022</v>
      </c>
    </row>
    <row r="41" spans="2:7" x14ac:dyDescent="0.2">
      <c r="B41" s="30" t="s">
        <v>43</v>
      </c>
      <c r="C41" s="21">
        <f>C5</f>
        <v>1000000</v>
      </c>
      <c r="D41" s="21">
        <f t="shared" ref="D41:G41" si="0">D5</f>
        <v>1250000</v>
      </c>
      <c r="E41" s="21">
        <f t="shared" si="0"/>
        <v>1875000</v>
      </c>
      <c r="F41" s="21">
        <f t="shared" si="0"/>
        <v>2100000</v>
      </c>
      <c r="G41" s="24">
        <f t="shared" si="0"/>
        <v>3750000</v>
      </c>
    </row>
    <row r="42" spans="2:7" x14ac:dyDescent="0.2">
      <c r="B42" s="30" t="s">
        <v>44</v>
      </c>
      <c r="C42" s="21">
        <f>C41*$C$15</f>
        <v>420000</v>
      </c>
      <c r="D42" s="21">
        <f t="shared" ref="D42:G42" si="1">D41*$C$15</f>
        <v>525000</v>
      </c>
      <c r="E42" s="21">
        <f t="shared" si="1"/>
        <v>787500</v>
      </c>
      <c r="F42" s="21">
        <f t="shared" si="1"/>
        <v>882000</v>
      </c>
      <c r="G42" s="24">
        <f t="shared" si="1"/>
        <v>1575000</v>
      </c>
    </row>
    <row r="43" spans="2:7" ht="30" customHeight="1" x14ac:dyDescent="0.2">
      <c r="B43" s="31" t="s">
        <v>45</v>
      </c>
      <c r="C43" s="22">
        <f>C41*$C$16</f>
        <v>150000</v>
      </c>
      <c r="D43" s="22">
        <f t="shared" ref="D43:G43" si="2">D41*$C$16</f>
        <v>187500</v>
      </c>
      <c r="E43" s="22">
        <f t="shared" si="2"/>
        <v>281250</v>
      </c>
      <c r="F43" s="22">
        <f t="shared" si="2"/>
        <v>315000</v>
      </c>
      <c r="G43" s="25">
        <f t="shared" si="2"/>
        <v>562500</v>
      </c>
    </row>
    <row r="44" spans="2:7" ht="30" customHeight="1" x14ac:dyDescent="0.2">
      <c r="B44" s="32" t="s">
        <v>47</v>
      </c>
      <c r="C44" s="21">
        <f>C41-C42-C43</f>
        <v>430000</v>
      </c>
      <c r="D44" s="21">
        <f t="shared" ref="D44:G44" si="3">D41-D42-D43</f>
        <v>537500</v>
      </c>
      <c r="E44" s="21">
        <f t="shared" si="3"/>
        <v>806250</v>
      </c>
      <c r="F44" s="21">
        <f t="shared" si="3"/>
        <v>903000</v>
      </c>
      <c r="G44" s="24">
        <f t="shared" si="3"/>
        <v>1612500</v>
      </c>
    </row>
    <row r="45" spans="2:7" x14ac:dyDescent="0.2">
      <c r="B45" s="33" t="s">
        <v>46</v>
      </c>
      <c r="C45" s="22">
        <f>C44*$C$17</f>
        <v>172000</v>
      </c>
      <c r="D45" s="22">
        <f t="shared" ref="D45:G45" si="4">D44*$C$17</f>
        <v>215000</v>
      </c>
      <c r="E45" s="22">
        <f t="shared" si="4"/>
        <v>322500</v>
      </c>
      <c r="F45" s="22">
        <f t="shared" si="4"/>
        <v>361200</v>
      </c>
      <c r="G45" s="25">
        <f t="shared" si="4"/>
        <v>645000</v>
      </c>
    </row>
    <row r="46" spans="2:7" ht="30" customHeight="1" x14ac:dyDescent="0.2">
      <c r="B46" s="32" t="s">
        <v>48</v>
      </c>
      <c r="C46" s="21">
        <f>C44-C45</f>
        <v>258000</v>
      </c>
      <c r="D46" s="21">
        <f t="shared" ref="D46:G46" si="5">D44-D45</f>
        <v>322500</v>
      </c>
      <c r="E46" s="21">
        <f t="shared" si="5"/>
        <v>483750</v>
      </c>
      <c r="F46" s="21">
        <f t="shared" si="5"/>
        <v>541800</v>
      </c>
      <c r="G46" s="24">
        <f t="shared" si="5"/>
        <v>967500</v>
      </c>
    </row>
    <row r="47" spans="2:7" x14ac:dyDescent="0.2">
      <c r="B47" s="30" t="s">
        <v>49</v>
      </c>
      <c r="C47" s="21">
        <f>C7</f>
        <v>15000</v>
      </c>
      <c r="D47" s="21">
        <f t="shared" ref="D47:G47" si="6">D7</f>
        <v>30000</v>
      </c>
      <c r="E47" s="21">
        <f t="shared" si="6"/>
        <v>50000</v>
      </c>
      <c r="F47" s="21">
        <f t="shared" si="6"/>
        <v>72000</v>
      </c>
      <c r="G47" s="24">
        <f t="shared" si="6"/>
        <v>80000</v>
      </c>
    </row>
    <row r="48" spans="2:7" ht="30" customHeight="1" thickBot="1" x14ac:dyDescent="0.25">
      <c r="B48" s="34" t="s">
        <v>53</v>
      </c>
      <c r="C48" s="23">
        <f>C6</f>
        <v>25000</v>
      </c>
      <c r="D48" s="23">
        <f t="shared" ref="D48:G48" si="7">D6</f>
        <v>55000</v>
      </c>
      <c r="E48" s="23">
        <f t="shared" si="7"/>
        <v>170000</v>
      </c>
      <c r="F48" s="23">
        <f t="shared" si="7"/>
        <v>80000</v>
      </c>
      <c r="G48" s="26">
        <f t="shared" si="7"/>
        <v>80000</v>
      </c>
    </row>
    <row r="49" spans="2:8" x14ac:dyDescent="0.2">
      <c r="B49" s="30"/>
      <c r="G49" s="8"/>
    </row>
    <row r="50" spans="2:8" x14ac:dyDescent="0.2">
      <c r="B50" s="30" t="s">
        <v>50</v>
      </c>
      <c r="C50" s="21">
        <f>C46+C47-C48</f>
        <v>248000</v>
      </c>
      <c r="D50" s="21">
        <f t="shared" ref="D50:G50" si="8">D46+D47-D48</f>
        <v>297500</v>
      </c>
      <c r="E50" s="21">
        <f t="shared" si="8"/>
        <v>363750</v>
      </c>
      <c r="F50" s="21">
        <f t="shared" si="8"/>
        <v>533800</v>
      </c>
      <c r="G50" s="24">
        <f t="shared" si="8"/>
        <v>967500</v>
      </c>
      <c r="H50" s="21"/>
    </row>
    <row r="51" spans="2:8" ht="16" thickBot="1" x14ac:dyDescent="0.25">
      <c r="B51" s="35" t="s">
        <v>51</v>
      </c>
      <c r="C51" s="20"/>
      <c r="D51" s="20"/>
      <c r="E51" s="20"/>
      <c r="F51" s="20"/>
      <c r="G51" s="26">
        <f>(G50*(1+C20))/(F36-C20)</f>
        <v>16362209.631404117</v>
      </c>
      <c r="H51" s="12"/>
    </row>
    <row r="52" spans="2:8" x14ac:dyDescent="0.2">
      <c r="B52" s="30"/>
      <c r="G52" s="8"/>
      <c r="H52" s="21"/>
    </row>
    <row r="53" spans="2:8" x14ac:dyDescent="0.2">
      <c r="B53" s="16" t="s">
        <v>52</v>
      </c>
      <c r="C53" s="29">
        <f>C50+C51</f>
        <v>248000</v>
      </c>
      <c r="D53" s="28">
        <f t="shared" ref="D53:G53" si="9">D50+D51</f>
        <v>297500</v>
      </c>
      <c r="E53" s="28">
        <f t="shared" si="9"/>
        <v>363750</v>
      </c>
      <c r="F53" s="28">
        <f t="shared" si="9"/>
        <v>533800</v>
      </c>
      <c r="G53" s="28">
        <f t="shared" si="9"/>
        <v>17329709.631404117</v>
      </c>
    </row>
    <row r="56" spans="2:8" x14ac:dyDescent="0.2">
      <c r="B56" s="40" t="s">
        <v>54</v>
      </c>
      <c r="C56" s="40"/>
      <c r="E56" s="1"/>
    </row>
    <row r="57" spans="2:8" x14ac:dyDescent="0.2">
      <c r="B57" s="2" t="s">
        <v>56</v>
      </c>
      <c r="C57" s="4">
        <f>NPV(F36,C53:G53)</f>
        <v>12942130.67973681</v>
      </c>
    </row>
    <row r="58" spans="2:8" ht="16" thickBot="1" x14ac:dyDescent="0.25">
      <c r="B58" s="37" t="s">
        <v>16</v>
      </c>
      <c r="C58" s="38">
        <f>C13</f>
        <v>1475000</v>
      </c>
    </row>
    <row r="59" spans="2:8" x14ac:dyDescent="0.2">
      <c r="B59" s="39" t="s">
        <v>55</v>
      </c>
      <c r="C59" s="36">
        <f>C57-C58</f>
        <v>11467130.67973681</v>
      </c>
    </row>
  </sheetData>
  <mergeCells count="12">
    <mergeCell ref="B56:C56"/>
    <mergeCell ref="B3:G3"/>
    <mergeCell ref="I3:J3"/>
    <mergeCell ref="B11:F11"/>
    <mergeCell ref="E12:F12"/>
    <mergeCell ref="B12:C12"/>
    <mergeCell ref="B23:F23"/>
    <mergeCell ref="B24:C24"/>
    <mergeCell ref="E24:F24"/>
    <mergeCell ref="B30:C30"/>
    <mergeCell ref="E30:F30"/>
    <mergeCell ref="B39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Mini-Case 2 Exhibits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Julissa Limon</cp:lastModifiedBy>
  <cp:revision/>
  <dcterms:created xsi:type="dcterms:W3CDTF">2023-02-19T18:46:00Z</dcterms:created>
  <dcterms:modified xsi:type="dcterms:W3CDTF">2024-03-29T06:48:35Z</dcterms:modified>
  <cp:category/>
  <cp:contentStatus/>
</cp:coreProperties>
</file>