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ssalimon/Desktop/Grad School/Spring I - 2023/FINA 5320/Mini-Case #1/"/>
    </mc:Choice>
  </mc:AlternateContent>
  <xr:revisionPtr revIDLastSave="0" documentId="13_ncr:1_{0DBCA10D-4F06-8047-97AC-EFC074CA4FF9}" xr6:coauthVersionLast="47" xr6:coauthVersionMax="47" xr10:uidLastSave="{00000000-0000-0000-0000-000000000000}"/>
  <bookViews>
    <workbookView xWindow="1400" yWindow="760" windowWidth="25640" windowHeight="17040" xr2:uid="{00000000-000D-0000-FFFF-FFFF00000000}"/>
  </bookViews>
  <sheets>
    <sheet name="RNI Calculatio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2" l="1"/>
  <c r="K23" i="2"/>
  <c r="J23" i="2"/>
  <c r="I23" i="2"/>
  <c r="H23" i="2"/>
  <c r="G23" i="2"/>
  <c r="F23" i="2"/>
  <c r="M27" i="2"/>
  <c r="N27" i="2"/>
  <c r="O27" i="2"/>
  <c r="E23" i="2"/>
  <c r="E22" i="2"/>
  <c r="C91" i="2"/>
  <c r="C109" i="2" s="1"/>
  <c r="C110" i="2" s="1"/>
  <c r="C106" i="2"/>
  <c r="C108" i="2"/>
  <c r="C104" i="2"/>
  <c r="C100" i="2"/>
  <c r="C105" i="2"/>
  <c r="C98" i="2"/>
  <c r="C97" i="2"/>
  <c r="C96" i="2"/>
  <c r="S81" i="2"/>
  <c r="P81" i="2"/>
  <c r="Q81" i="2"/>
  <c r="R81" i="2"/>
  <c r="T81" i="2"/>
  <c r="U81" i="2"/>
  <c r="V81" i="2"/>
  <c r="W81" i="2"/>
  <c r="X81" i="2"/>
  <c r="L77" i="2"/>
  <c r="K77" i="2"/>
  <c r="J77" i="2"/>
  <c r="I77" i="2"/>
  <c r="H77" i="2"/>
  <c r="G77" i="2"/>
  <c r="F77" i="2"/>
  <c r="P27" i="2"/>
  <c r="E77" i="2"/>
  <c r="F74" i="2"/>
  <c r="C84" i="2"/>
  <c r="D84" i="2"/>
  <c r="D87" i="2"/>
  <c r="C85" i="2"/>
  <c r="O81" i="2"/>
  <c r="N81" i="2"/>
  <c r="M81" i="2"/>
  <c r="L81" i="2"/>
  <c r="K81" i="2"/>
  <c r="J81" i="2"/>
  <c r="I81" i="2"/>
  <c r="H81" i="2"/>
  <c r="F81" i="2"/>
  <c r="E81" i="2"/>
  <c r="D58" i="2"/>
  <c r="P53" i="2"/>
  <c r="O53" i="2"/>
  <c r="N53" i="2"/>
  <c r="M53" i="2"/>
  <c r="D32" i="2"/>
  <c r="O8" i="2"/>
  <c r="C68" i="2" s="1"/>
  <c r="E75" i="2" s="1"/>
  <c r="L8" i="2"/>
  <c r="C42" i="2" s="1"/>
  <c r="E48" i="2" s="1"/>
  <c r="F48" i="2" s="1"/>
  <c r="G48" i="2" s="1"/>
  <c r="I8" i="2"/>
  <c r="C16" i="2" s="1"/>
  <c r="C8" i="2"/>
  <c r="F75" i="2" l="1"/>
  <c r="E78" i="2"/>
  <c r="G74" i="2"/>
  <c r="F78" i="2"/>
  <c r="C87" i="2"/>
  <c r="C56" i="2"/>
  <c r="H49" i="2" s="1"/>
  <c r="H53" i="2" s="1"/>
  <c r="J49" i="2"/>
  <c r="J53" i="2" s="1"/>
  <c r="L49" i="2"/>
  <c r="L53" i="2" s="1"/>
  <c r="G49" i="2"/>
  <c r="C58" i="2"/>
  <c r="G75" i="2"/>
  <c r="H27" i="2"/>
  <c r="F22" i="2"/>
  <c r="G22" i="2" s="1"/>
  <c r="F27" i="2"/>
  <c r="I27" i="2"/>
  <c r="J27" i="2"/>
  <c r="K27" i="2"/>
  <c r="L27" i="2"/>
  <c r="C30" i="2"/>
  <c r="C32" i="2" s="1"/>
  <c r="G27" i="2"/>
  <c r="E27" i="2"/>
  <c r="H74" i="2" l="1"/>
  <c r="G78" i="2"/>
  <c r="I49" i="2"/>
  <c r="I53" i="2" s="1"/>
  <c r="F49" i="2"/>
  <c r="F53" i="2" s="1"/>
  <c r="K49" i="2"/>
  <c r="K53" i="2" s="1"/>
  <c r="F24" i="2"/>
  <c r="F25" i="2" s="1"/>
  <c r="F26" i="2" s="1"/>
  <c r="F28" i="2" s="1"/>
  <c r="F32" i="2" s="1"/>
  <c r="G53" i="2" s="1"/>
  <c r="E49" i="2"/>
  <c r="F79" i="2"/>
  <c r="F80" i="2" s="1"/>
  <c r="F82" i="2" s="1"/>
  <c r="F87" i="2" s="1"/>
  <c r="H75" i="2"/>
  <c r="E79" i="2"/>
  <c r="E80" i="2" s="1"/>
  <c r="E82" i="2" s="1"/>
  <c r="E87" i="2" s="1"/>
  <c r="F50" i="2"/>
  <c r="E24" i="2"/>
  <c r="E25" i="2" s="1"/>
  <c r="E26" i="2" s="1"/>
  <c r="E28" i="2" s="1"/>
  <c r="E32" i="2" s="1"/>
  <c r="G24" i="2"/>
  <c r="H22" i="2"/>
  <c r="I74" i="2" l="1"/>
  <c r="H78" i="2"/>
  <c r="E53" i="2"/>
  <c r="E50" i="2"/>
  <c r="E51" i="2" s="1"/>
  <c r="E52" i="2" s="1"/>
  <c r="I75" i="2"/>
  <c r="H48" i="2"/>
  <c r="G50" i="2"/>
  <c r="F51" i="2"/>
  <c r="F52" i="2" s="1"/>
  <c r="F54" i="2" s="1"/>
  <c r="F58" i="2" s="1"/>
  <c r="G25" i="2"/>
  <c r="G26" i="2" s="1"/>
  <c r="G28" i="2" s="1"/>
  <c r="G32" i="2" s="1"/>
  <c r="I22" i="2"/>
  <c r="H24" i="2"/>
  <c r="J74" i="2" l="1"/>
  <c r="I78" i="2"/>
  <c r="E54" i="2"/>
  <c r="E58" i="2" s="1"/>
  <c r="G81" i="2"/>
  <c r="G79" i="2"/>
  <c r="G80" i="2" s="1"/>
  <c r="J75" i="2"/>
  <c r="H79" i="2"/>
  <c r="H80" i="2" s="1"/>
  <c r="H82" i="2" s="1"/>
  <c r="H87" i="2" s="1"/>
  <c r="G51" i="2"/>
  <c r="G52" i="2" s="1"/>
  <c r="G54" i="2" s="1"/>
  <c r="G58" i="2" s="1"/>
  <c r="I48" i="2"/>
  <c r="H50" i="2"/>
  <c r="H25" i="2"/>
  <c r="H26" i="2" s="1"/>
  <c r="H28" i="2" s="1"/>
  <c r="H32" i="2" s="1"/>
  <c r="I24" i="2"/>
  <c r="J22" i="2"/>
  <c r="K74" i="2" l="1"/>
  <c r="J78" i="2"/>
  <c r="G82" i="2"/>
  <c r="G87" i="2" s="1"/>
  <c r="I79" i="2"/>
  <c r="I80" i="2" s="1"/>
  <c r="I82" i="2" s="1"/>
  <c r="I87" i="2" s="1"/>
  <c r="K75" i="2"/>
  <c r="H51" i="2"/>
  <c r="H52" i="2" s="1"/>
  <c r="H54" i="2" s="1"/>
  <c r="H58" i="2" s="1"/>
  <c r="I50" i="2"/>
  <c r="J48" i="2"/>
  <c r="J24" i="2"/>
  <c r="K22" i="2"/>
  <c r="I25" i="2"/>
  <c r="I26" i="2" s="1"/>
  <c r="I28" i="2" s="1"/>
  <c r="I32" i="2" s="1"/>
  <c r="L74" i="2" l="1"/>
  <c r="K78" i="2"/>
  <c r="J79" i="2"/>
  <c r="J80" i="2" s="1"/>
  <c r="J82" i="2" s="1"/>
  <c r="J87" i="2" s="1"/>
  <c r="L75" i="2"/>
  <c r="K48" i="2"/>
  <c r="J50" i="2"/>
  <c r="I51" i="2"/>
  <c r="I52" i="2" s="1"/>
  <c r="I54" i="2" s="1"/>
  <c r="I58" i="2" s="1"/>
  <c r="K24" i="2"/>
  <c r="L22" i="2"/>
  <c r="J25" i="2"/>
  <c r="J26" i="2" s="1"/>
  <c r="J28" i="2" s="1"/>
  <c r="J32" i="2" s="1"/>
  <c r="M74" i="2" l="1"/>
  <c r="L78" i="2"/>
  <c r="K79" i="2"/>
  <c r="K80" i="2" s="1"/>
  <c r="K82" i="2" s="1"/>
  <c r="K87" i="2" s="1"/>
  <c r="M75" i="2"/>
  <c r="K50" i="2"/>
  <c r="L48" i="2"/>
  <c r="J51" i="2"/>
  <c r="J52" i="2" s="1"/>
  <c r="J54" i="2" s="1"/>
  <c r="J58" i="2" s="1"/>
  <c r="L24" i="2"/>
  <c r="M22" i="2"/>
  <c r="K25" i="2"/>
  <c r="K26" i="2" s="1"/>
  <c r="K28" i="2" s="1"/>
  <c r="K32" i="2" s="1"/>
  <c r="N74" i="2" l="1"/>
  <c r="M78" i="2"/>
  <c r="L79" i="2"/>
  <c r="L80" i="2" s="1"/>
  <c r="L82" i="2" s="1"/>
  <c r="L87" i="2" s="1"/>
  <c r="N75" i="2"/>
  <c r="M48" i="2"/>
  <c r="L50" i="2"/>
  <c r="K51" i="2"/>
  <c r="K52" i="2" s="1"/>
  <c r="K54" i="2" s="1"/>
  <c r="K58" i="2" s="1"/>
  <c r="N22" i="2"/>
  <c r="M24" i="2"/>
  <c r="L25" i="2"/>
  <c r="L26" i="2" s="1"/>
  <c r="L28" i="2" s="1"/>
  <c r="L32" i="2" s="1"/>
  <c r="O74" i="2" l="1"/>
  <c r="N78" i="2"/>
  <c r="O75" i="2"/>
  <c r="P75" i="2" s="1"/>
  <c r="Q75" i="2" s="1"/>
  <c r="R75" i="2" s="1"/>
  <c r="S75" i="2" s="1"/>
  <c r="T75" i="2" s="1"/>
  <c r="U75" i="2" s="1"/>
  <c r="V75" i="2" s="1"/>
  <c r="W75" i="2" s="1"/>
  <c r="X75" i="2" s="1"/>
  <c r="M79" i="2"/>
  <c r="M80" i="2" s="1"/>
  <c r="M82" i="2" s="1"/>
  <c r="M87" i="2" s="1"/>
  <c r="M50" i="2"/>
  <c r="N48" i="2"/>
  <c r="L51" i="2"/>
  <c r="L52" i="2" s="1"/>
  <c r="L54" i="2" s="1"/>
  <c r="L58" i="2" s="1"/>
  <c r="M25" i="2"/>
  <c r="M26" i="2" s="1"/>
  <c r="M28" i="2" s="1"/>
  <c r="M32" i="2" s="1"/>
  <c r="O22" i="2"/>
  <c r="P22" i="2" s="1"/>
  <c r="P24" i="2" s="1"/>
  <c r="P25" i="2" s="1"/>
  <c r="P26" i="2" s="1"/>
  <c r="P28" i="2" s="1"/>
  <c r="P32" i="2" s="1"/>
  <c r="N24" i="2"/>
  <c r="O78" i="2" l="1"/>
  <c r="P74" i="2"/>
  <c r="N79" i="2"/>
  <c r="N80" i="2" s="1"/>
  <c r="N82" i="2" s="1"/>
  <c r="N87" i="2" s="1"/>
  <c r="O48" i="2"/>
  <c r="N50" i="2"/>
  <c r="M51" i="2"/>
  <c r="M52" i="2" s="1"/>
  <c r="M54" i="2" s="1"/>
  <c r="M58" i="2" s="1"/>
  <c r="O24" i="2"/>
  <c r="N25" i="2"/>
  <c r="N26" i="2" s="1"/>
  <c r="N28" i="2" s="1"/>
  <c r="N32" i="2" s="1"/>
  <c r="P78" i="2" l="1"/>
  <c r="Q74" i="2"/>
  <c r="O79" i="2"/>
  <c r="O80" i="2" s="1"/>
  <c r="O82" i="2" s="1"/>
  <c r="O87" i="2" s="1"/>
  <c r="N51" i="2"/>
  <c r="N52" i="2" s="1"/>
  <c r="N54" i="2" s="1"/>
  <c r="N58" i="2" s="1"/>
  <c r="P48" i="2"/>
  <c r="P50" i="2" s="1"/>
  <c r="O50" i="2"/>
  <c r="O25" i="2"/>
  <c r="O26" i="2" s="1"/>
  <c r="O28" i="2" s="1"/>
  <c r="O32" i="2" s="1"/>
  <c r="C34" i="2" s="1"/>
  <c r="C36" i="2" s="1"/>
  <c r="C101" i="2" s="1"/>
  <c r="C102" i="2" s="1"/>
  <c r="Q78" i="2" l="1"/>
  <c r="R74" i="2"/>
  <c r="P79" i="2"/>
  <c r="P80" i="2"/>
  <c r="P82" i="2" s="1"/>
  <c r="P87" i="2" s="1"/>
  <c r="O51" i="2"/>
  <c r="O52" i="2" s="1"/>
  <c r="O54" i="2" s="1"/>
  <c r="O58" i="2" s="1"/>
  <c r="P51" i="2"/>
  <c r="P52" i="2" s="1"/>
  <c r="P54" i="2" s="1"/>
  <c r="P58" i="2" s="1"/>
  <c r="C60" i="2" l="1"/>
  <c r="C62" i="2" s="1"/>
  <c r="R78" i="2"/>
  <c r="S74" i="2"/>
  <c r="Q79" i="2"/>
  <c r="Q80" i="2"/>
  <c r="Q82" i="2" s="1"/>
  <c r="Q87" i="2" s="1"/>
  <c r="S78" i="2" l="1"/>
  <c r="T74" i="2"/>
  <c r="R79" i="2"/>
  <c r="R80" i="2"/>
  <c r="R82" i="2" s="1"/>
  <c r="R87" i="2" s="1"/>
  <c r="T78" i="2" l="1"/>
  <c r="U74" i="2"/>
  <c r="S79" i="2"/>
  <c r="S80" i="2"/>
  <c r="S82" i="2" s="1"/>
  <c r="S87" i="2" s="1"/>
  <c r="U78" i="2" l="1"/>
  <c r="V74" i="2"/>
  <c r="T79" i="2"/>
  <c r="T80" i="2"/>
  <c r="T82" i="2" s="1"/>
  <c r="T87" i="2" s="1"/>
  <c r="V78" i="2" l="1"/>
  <c r="W74" i="2"/>
  <c r="U79" i="2"/>
  <c r="U80" i="2"/>
  <c r="U82" i="2" s="1"/>
  <c r="U87" i="2" s="1"/>
  <c r="W78" i="2" l="1"/>
  <c r="X74" i="2"/>
  <c r="X78" i="2" s="1"/>
  <c r="V79" i="2"/>
  <c r="V80" i="2"/>
  <c r="V82" i="2" s="1"/>
  <c r="V87" i="2" s="1"/>
  <c r="X79" i="2" l="1"/>
  <c r="X80" i="2"/>
  <c r="X82" i="2" s="1"/>
  <c r="X87" i="2" s="1"/>
  <c r="W79" i="2"/>
  <c r="W80" i="2"/>
  <c r="W82" i="2" s="1"/>
  <c r="W87" i="2" s="1"/>
  <c r="C89" i="2" s="1"/>
</calcChain>
</file>

<file path=xl/sharedStrings.xml><?xml version="1.0" encoding="utf-8"?>
<sst xmlns="http://schemas.openxmlformats.org/spreadsheetml/2006/main" count="95" uniqueCount="53">
  <si>
    <t>Table 1 : Overhaul Expenditures</t>
  </si>
  <si>
    <t>Table 2: 7-year MACRS Depreciation Rates</t>
  </si>
  <si>
    <t>Table 3: Post-Overhaul Operating Costs (Basic Overhaul)</t>
  </si>
  <si>
    <t>Table 4: Post-Overhaul Operating Costs (Overhaul plus New Engine &amp; Control System</t>
  </si>
  <si>
    <t>Table 5: Operating Costs of New Vessel</t>
  </si>
  <si>
    <t>Overhaul Engine &amp; Generators</t>
  </si>
  <si>
    <t>Year</t>
  </si>
  <si>
    <t>Rate</t>
  </si>
  <si>
    <t>Fuel</t>
  </si>
  <si>
    <t>Replace Radar &amp; Other Electronic Equipment</t>
  </si>
  <si>
    <t>Labor and Benefits</t>
  </si>
  <si>
    <t>Repairs to Hull and Superstructure</t>
  </si>
  <si>
    <t>Maintenance</t>
  </si>
  <si>
    <t>Painting and Other Repairs</t>
  </si>
  <si>
    <t>Other</t>
  </si>
  <si>
    <t>Exhibit 1: Present Value of Overhaul Without New Engine</t>
  </si>
  <si>
    <t>Operating Cost at Present</t>
  </si>
  <si>
    <t>Inflation</t>
  </si>
  <si>
    <t>Tax Rate</t>
  </si>
  <si>
    <t>Nominal Interest Rate</t>
  </si>
  <si>
    <t>Operating Cost</t>
  </si>
  <si>
    <t>Depreciation</t>
  </si>
  <si>
    <t>Earnings Before Taxes</t>
  </si>
  <si>
    <t>Tax (at 35%)</t>
  </si>
  <si>
    <t>Net Income</t>
  </si>
  <si>
    <t>Add Back Depreciation</t>
  </si>
  <si>
    <t>Operating Cash Flows</t>
  </si>
  <si>
    <t>Overhaul Costs</t>
  </si>
  <si>
    <t>Total Cash Flows</t>
  </si>
  <si>
    <t>PV of Cash Flows from Years 1 - 13</t>
  </si>
  <si>
    <t>PV of Overhaul Without New Engine</t>
  </si>
  <si>
    <t>Exhibit 1: Present Value of Overhaul With New Engine</t>
  </si>
  <si>
    <t>Installation Cost</t>
  </si>
  <si>
    <t>PV of Overhaul With New Engine</t>
  </si>
  <si>
    <t>Exhibit 2: Present Value of Buying and Operating New Vessel</t>
  </si>
  <si>
    <t>New Vessel Price</t>
  </si>
  <si>
    <t>Revenue</t>
  </si>
  <si>
    <t>Training</t>
  </si>
  <si>
    <t>New Vessel</t>
  </si>
  <si>
    <t>Old Machine</t>
  </si>
  <si>
    <t>PV of Cash Flows from Years 1 - 21</t>
  </si>
  <si>
    <t>PV of Buying and Operating New Vessel</t>
  </si>
  <si>
    <t>Exhibit 3: Equivalent Annual Costs</t>
  </si>
  <si>
    <t>Nominal Rate</t>
  </si>
  <si>
    <t>Inflation Rate</t>
  </si>
  <si>
    <t>Real Rate</t>
  </si>
  <si>
    <t>Overhaul Without New Engine</t>
  </si>
  <si>
    <t>Periods</t>
  </si>
  <si>
    <t>PV</t>
  </si>
  <si>
    <t>Overhaul Without New Engine EAC</t>
  </si>
  <si>
    <t>Overhaul With New Engine</t>
  </si>
  <si>
    <t>Overhaul With New Engine EAC</t>
  </si>
  <si>
    <t>New Vessel 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</si>
</sst>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4" fontId="0" fillId="0" borderId="9" xfId="1" applyFont="1" applyBorder="1"/>
    <xf numFmtId="44" fontId="0" fillId="0" borderId="0" xfId="0" applyNumberFormat="1"/>
    <xf numFmtId="0" fontId="0" fillId="0" borderId="7" xfId="0" applyBorder="1"/>
    <xf numFmtId="44" fontId="0" fillId="0" borderId="7" xfId="1" applyFont="1" applyBorder="1"/>
    <xf numFmtId="0" fontId="0" fillId="0" borderId="8" xfId="0" applyBorder="1"/>
    <xf numFmtId="44" fontId="0" fillId="0" borderId="8" xfId="1" applyFont="1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44" fontId="0" fillId="0" borderId="11" xfId="1" applyFont="1" applyBorder="1"/>
    <xf numFmtId="44" fontId="0" fillId="0" borderId="10" xfId="1" applyFont="1" applyBorder="1"/>
    <xf numFmtId="0" fontId="0" fillId="4" borderId="8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0" fontId="0" fillId="0" borderId="0" xfId="2" applyNumberFormat="1" applyFont="1" applyBorder="1"/>
    <xf numFmtId="9" fontId="0" fillId="0" borderId="0" xfId="2" applyFont="1" applyBorder="1"/>
    <xf numFmtId="164" fontId="0" fillId="0" borderId="0" xfId="2" applyNumberFormat="1" applyFont="1" applyBorder="1"/>
    <xf numFmtId="44" fontId="0" fillId="0" borderId="0" xfId="1" applyFont="1" applyBorder="1"/>
    <xf numFmtId="44" fontId="0" fillId="0" borderId="3" xfId="1" applyFont="1" applyBorder="1"/>
    <xf numFmtId="0" fontId="0" fillId="0" borderId="4" xfId="0" applyBorder="1"/>
    <xf numFmtId="44" fontId="0" fillId="0" borderId="5" xfId="1" applyFont="1" applyBorder="1"/>
    <xf numFmtId="0" fontId="0" fillId="0" borderId="15" xfId="0" applyBorder="1"/>
    <xf numFmtId="44" fontId="0" fillId="0" borderId="16" xfId="1" applyFont="1" applyBorder="1"/>
    <xf numFmtId="8" fontId="0" fillId="0" borderId="0" xfId="0" applyNumberFormat="1"/>
    <xf numFmtId="0" fontId="0" fillId="0" borderId="5" xfId="0" applyBorder="1"/>
    <xf numFmtId="0" fontId="2" fillId="0" borderId="4" xfId="0" applyFont="1" applyBorder="1"/>
    <xf numFmtId="44" fontId="2" fillId="2" borderId="7" xfId="0" applyNumberFormat="1" applyFont="1" applyFill="1" applyBorder="1"/>
    <xf numFmtId="164" fontId="0" fillId="0" borderId="3" xfId="0" applyNumberFormat="1" applyBorder="1"/>
    <xf numFmtId="44" fontId="0" fillId="0" borderId="3" xfId="0" applyNumberFormat="1" applyBorder="1"/>
    <xf numFmtId="10" fontId="0" fillId="0" borderId="3" xfId="0" applyNumberFormat="1" applyBorder="1"/>
    <xf numFmtId="8" fontId="2" fillId="2" borderId="3" xfId="0" applyNumberFormat="1" applyFont="1" applyFill="1" applyBorder="1"/>
    <xf numFmtId="8" fontId="2" fillId="2" borderId="5" xfId="0" applyNumberFormat="1" applyFont="1" applyFill="1" applyBorder="1"/>
    <xf numFmtId="0" fontId="0" fillId="0" borderId="15" xfId="0" applyBorder="1" applyAlignment="1">
      <alignment horizontal="left" wrapText="1"/>
    </xf>
    <xf numFmtId="0" fontId="0" fillId="0" borderId="15" xfId="0" applyBorder="1" applyAlignment="1">
      <alignment wrapText="1"/>
    </xf>
    <xf numFmtId="0" fontId="2" fillId="0" borderId="2" xfId="0" applyFont="1" applyBorder="1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1F4F-4A8F-48AD-AC05-E1D7D07BF0FC}">
  <dimension ref="B3:X110"/>
  <sheetViews>
    <sheetView tabSelected="1" topLeftCell="A92" zoomScale="125" zoomScaleNormal="50" workbookViewId="0">
      <selection activeCell="E77" sqref="E77"/>
    </sheetView>
  </sheetViews>
  <sheetFormatPr baseColWidth="10" defaultColWidth="8.83203125" defaultRowHeight="15" x14ac:dyDescent="0.2"/>
  <cols>
    <col min="2" max="2" width="35.5" bestFit="1" customWidth="1"/>
    <col min="3" max="3" width="15.5" bestFit="1" customWidth="1"/>
    <col min="4" max="4" width="15" customWidth="1"/>
    <col min="5" max="5" width="16" customWidth="1"/>
    <col min="6" max="6" width="14.6640625" customWidth="1"/>
    <col min="7" max="7" width="15" customWidth="1"/>
    <col min="8" max="8" width="14.6640625" customWidth="1"/>
    <col min="9" max="9" width="15.33203125" customWidth="1"/>
    <col min="10" max="10" width="15" customWidth="1"/>
    <col min="11" max="11" width="15" bestFit="1" customWidth="1"/>
    <col min="12" max="13" width="14.83203125" customWidth="1"/>
    <col min="14" max="14" width="15" bestFit="1" customWidth="1"/>
    <col min="15" max="15" width="14.6640625" customWidth="1"/>
    <col min="16" max="17" width="14.5" customWidth="1"/>
    <col min="18" max="18" width="14.33203125" customWidth="1"/>
    <col min="19" max="20" width="14.5" customWidth="1"/>
    <col min="21" max="21" width="14.83203125" customWidth="1"/>
    <col min="22" max="22" width="15" customWidth="1"/>
    <col min="23" max="23" width="14.6640625" customWidth="1"/>
    <col min="24" max="24" width="15.5" bestFit="1" customWidth="1"/>
  </cols>
  <sheetData>
    <row r="3" spans="2:23" s="1" customFormat="1" ht="45" customHeight="1" x14ac:dyDescent="0.2">
      <c r="B3" s="40" t="s">
        <v>0</v>
      </c>
      <c r="C3" s="40"/>
      <c r="E3" s="40" t="s">
        <v>1</v>
      </c>
      <c r="F3" s="40"/>
      <c r="H3" s="40" t="s">
        <v>2</v>
      </c>
      <c r="I3" s="40"/>
      <c r="K3" s="41" t="s">
        <v>3</v>
      </c>
      <c r="L3" s="41"/>
      <c r="N3" s="40" t="s">
        <v>4</v>
      </c>
      <c r="O3" s="40"/>
      <c r="P3"/>
      <c r="Q3"/>
      <c r="R3"/>
      <c r="S3"/>
      <c r="T3"/>
      <c r="U3"/>
      <c r="V3"/>
      <c r="W3"/>
    </row>
    <row r="4" spans="2:23" x14ac:dyDescent="0.2">
      <c r="B4" s="6" t="s">
        <v>5</v>
      </c>
      <c r="C4" s="7">
        <v>340000</v>
      </c>
      <c r="E4" s="13" t="s">
        <v>6</v>
      </c>
      <c r="F4" s="13" t="s">
        <v>7</v>
      </c>
      <c r="H4" s="6" t="s">
        <v>8</v>
      </c>
      <c r="I4" s="7">
        <v>450000</v>
      </c>
      <c r="K4" s="6" t="s">
        <v>8</v>
      </c>
      <c r="L4" s="7">
        <v>400000</v>
      </c>
      <c r="N4" s="6" t="s">
        <v>8</v>
      </c>
      <c r="O4" s="7">
        <v>380000</v>
      </c>
    </row>
    <row r="5" spans="2:23" ht="30" customHeight="1" x14ac:dyDescent="0.2">
      <c r="B5" s="8" t="s">
        <v>9</v>
      </c>
      <c r="C5" s="7">
        <v>75000</v>
      </c>
      <c r="E5" s="9">
        <v>1</v>
      </c>
      <c r="F5" s="10">
        <v>0.1429</v>
      </c>
      <c r="H5" s="8" t="s">
        <v>10</v>
      </c>
      <c r="I5" s="7">
        <v>480000</v>
      </c>
      <c r="K5" s="8" t="s">
        <v>10</v>
      </c>
      <c r="L5" s="7">
        <v>405000</v>
      </c>
      <c r="N5" s="8" t="s">
        <v>10</v>
      </c>
      <c r="O5" s="7">
        <v>330000</v>
      </c>
    </row>
    <row r="6" spans="2:23" x14ac:dyDescent="0.2">
      <c r="B6" s="6" t="s">
        <v>11</v>
      </c>
      <c r="C6" s="7">
        <v>310000</v>
      </c>
      <c r="E6" s="9">
        <v>2</v>
      </c>
      <c r="F6" s="10">
        <v>0.24490000000000001</v>
      </c>
      <c r="H6" s="6" t="s">
        <v>12</v>
      </c>
      <c r="I6" s="7">
        <v>141000</v>
      </c>
      <c r="K6" s="6" t="s">
        <v>12</v>
      </c>
      <c r="L6" s="7">
        <v>105000</v>
      </c>
      <c r="N6" s="6" t="s">
        <v>12</v>
      </c>
      <c r="O6" s="7">
        <v>70000</v>
      </c>
    </row>
    <row r="7" spans="2:23" ht="16" thickBot="1" x14ac:dyDescent="0.25">
      <c r="B7" s="6" t="s">
        <v>13</v>
      </c>
      <c r="C7" s="12">
        <v>95000</v>
      </c>
      <c r="E7" s="9">
        <v>3</v>
      </c>
      <c r="F7" s="10">
        <v>0.1749</v>
      </c>
      <c r="H7" s="6" t="s">
        <v>14</v>
      </c>
      <c r="I7" s="12">
        <v>110000</v>
      </c>
      <c r="K7" s="6" t="s">
        <v>14</v>
      </c>
      <c r="L7" s="12">
        <v>110000</v>
      </c>
      <c r="N7" s="6" t="s">
        <v>14</v>
      </c>
      <c r="O7" s="12">
        <v>105000</v>
      </c>
    </row>
    <row r="8" spans="2:23" x14ac:dyDescent="0.2">
      <c r="B8" s="6"/>
      <c r="C8" s="11">
        <f>SUM(C4:C7)</f>
        <v>820000</v>
      </c>
      <c r="E8" s="9">
        <v>4</v>
      </c>
      <c r="F8" s="10">
        <v>0.1249</v>
      </c>
      <c r="H8" s="6"/>
      <c r="I8" s="11">
        <f>SUM(I4:I7)</f>
        <v>1181000</v>
      </c>
      <c r="K8" s="6"/>
      <c r="L8" s="11">
        <f>SUM(L4:L7)</f>
        <v>1020000</v>
      </c>
      <c r="N8" s="6"/>
      <c r="O8" s="11">
        <f>SUM(O4:O7)</f>
        <v>885000</v>
      </c>
    </row>
    <row r="9" spans="2:23" x14ac:dyDescent="0.2">
      <c r="E9" s="9">
        <v>5</v>
      </c>
      <c r="F9" s="10">
        <v>8.9300000000000004E-2</v>
      </c>
    </row>
    <row r="10" spans="2:23" x14ac:dyDescent="0.2">
      <c r="E10" s="9">
        <v>6</v>
      </c>
      <c r="F10" s="10">
        <v>8.9300000000000004E-2</v>
      </c>
    </row>
    <row r="11" spans="2:23" x14ac:dyDescent="0.2">
      <c r="E11" s="9">
        <v>7</v>
      </c>
      <c r="F11" s="10">
        <v>8.9300000000000004E-2</v>
      </c>
    </row>
    <row r="12" spans="2:23" x14ac:dyDescent="0.2">
      <c r="E12" s="9">
        <v>8</v>
      </c>
      <c r="F12" s="10">
        <v>4.4499999999999998E-2</v>
      </c>
    </row>
    <row r="15" spans="2:23" x14ac:dyDescent="0.2">
      <c r="B15" s="37" t="s">
        <v>15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</row>
    <row r="16" spans="2:23" x14ac:dyDescent="0.2">
      <c r="B16" s="14" t="s">
        <v>16</v>
      </c>
      <c r="C16" s="3">
        <f>I8</f>
        <v>1181000</v>
      </c>
      <c r="P16" s="15"/>
    </row>
    <row r="17" spans="2:16" x14ac:dyDescent="0.2">
      <c r="B17" s="14" t="s">
        <v>17</v>
      </c>
      <c r="C17" s="16">
        <v>1.2500000000000001E-2</v>
      </c>
      <c r="P17" s="15"/>
    </row>
    <row r="18" spans="2:16" x14ac:dyDescent="0.2">
      <c r="B18" s="14" t="s">
        <v>18</v>
      </c>
      <c r="C18" s="17">
        <v>0.35</v>
      </c>
      <c r="P18" s="15"/>
    </row>
    <row r="19" spans="2:16" x14ac:dyDescent="0.2">
      <c r="B19" s="14" t="s">
        <v>19</v>
      </c>
      <c r="C19" s="18">
        <v>8.5000000000000006E-2</v>
      </c>
      <c r="P19" s="15"/>
    </row>
    <row r="20" spans="2:16" x14ac:dyDescent="0.2">
      <c r="B20" s="14"/>
      <c r="P20" s="15"/>
    </row>
    <row r="21" spans="2:16" x14ac:dyDescent="0.2">
      <c r="B21" s="6" t="s">
        <v>6</v>
      </c>
      <c r="C21" s="9">
        <v>0</v>
      </c>
      <c r="D21" s="9">
        <v>1</v>
      </c>
      <c r="E21" s="9">
        <v>2</v>
      </c>
      <c r="F21" s="9">
        <v>3</v>
      </c>
      <c r="G21" s="9">
        <v>4</v>
      </c>
      <c r="H21" s="9">
        <v>5</v>
      </c>
      <c r="I21" s="9">
        <v>6</v>
      </c>
      <c r="J21" s="9">
        <v>7</v>
      </c>
      <c r="K21" s="9">
        <v>8</v>
      </c>
      <c r="L21" s="9">
        <v>9</v>
      </c>
      <c r="M21" s="9">
        <v>10</v>
      </c>
      <c r="N21" s="9">
        <v>11</v>
      </c>
      <c r="O21" s="9">
        <v>12</v>
      </c>
      <c r="P21" s="9">
        <v>13</v>
      </c>
    </row>
    <row r="22" spans="2:16" x14ac:dyDescent="0.2">
      <c r="B22" s="14" t="s">
        <v>20</v>
      </c>
      <c r="C22" s="19">
        <v>0</v>
      </c>
      <c r="D22" s="19">
        <v>0</v>
      </c>
      <c r="E22" s="19">
        <f>-(C16*(1+C17)*(1+C17))</f>
        <v>-1210709.53125</v>
      </c>
      <c r="F22" s="19">
        <f>E22*(1+C17)</f>
        <v>-1225843.400390625</v>
      </c>
      <c r="G22" s="19">
        <f>F22*(1+C17)</f>
        <v>-1241166.4428955077</v>
      </c>
      <c r="H22" s="19">
        <f>G22*(1+C17)</f>
        <v>-1256681.0234317014</v>
      </c>
      <c r="I22" s="19">
        <f>H22*(1+C17)</f>
        <v>-1272389.5362245976</v>
      </c>
      <c r="J22" s="19">
        <f>I22*(1+C17)</f>
        <v>-1288294.4054274049</v>
      </c>
      <c r="K22" s="19">
        <f>J22*(1+C17)</f>
        <v>-1304398.0854952475</v>
      </c>
      <c r="L22" s="19">
        <f>K22*(1+C17)</f>
        <v>-1320703.0615639382</v>
      </c>
      <c r="M22" s="19">
        <f>L22*(1+C17)</f>
        <v>-1337211.8498334873</v>
      </c>
      <c r="N22" s="19">
        <f>M22*(1+C17)</f>
        <v>-1353926.9979564059</v>
      </c>
      <c r="O22" s="19">
        <f>N22*(1+C17)</f>
        <v>-1370851.085430861</v>
      </c>
      <c r="P22" s="20">
        <f>O22*(1+C17)</f>
        <v>-1387986.7239987466</v>
      </c>
    </row>
    <row r="23" spans="2:16" x14ac:dyDescent="0.2">
      <c r="B23" s="21" t="s">
        <v>21</v>
      </c>
      <c r="C23" s="5">
        <v>0</v>
      </c>
      <c r="D23" s="5">
        <v>0</v>
      </c>
      <c r="E23" s="5">
        <f>C30*F5</f>
        <v>-117178</v>
      </c>
      <c r="F23" s="5">
        <f>C30*F6</f>
        <v>-200818</v>
      </c>
      <c r="G23" s="5">
        <f>C30*F7</f>
        <v>-143418</v>
      </c>
      <c r="H23" s="5">
        <f>C30*F8</f>
        <v>-102418</v>
      </c>
      <c r="I23" s="5">
        <f>C30*F9</f>
        <v>-73226</v>
      </c>
      <c r="J23" s="5">
        <f>C30*F10</f>
        <v>-73226</v>
      </c>
      <c r="K23" s="5">
        <f>C30*F11</f>
        <v>-73226</v>
      </c>
      <c r="L23" s="5">
        <f>C30*F12</f>
        <v>-36490</v>
      </c>
      <c r="M23" s="5">
        <v>0</v>
      </c>
      <c r="N23" s="5">
        <v>0</v>
      </c>
      <c r="O23" s="5">
        <v>0</v>
      </c>
      <c r="P23" s="22">
        <v>0</v>
      </c>
    </row>
    <row r="24" spans="2:16" x14ac:dyDescent="0.2">
      <c r="B24" s="14" t="s">
        <v>22</v>
      </c>
      <c r="C24" s="19">
        <v>0</v>
      </c>
      <c r="D24" s="19">
        <v>0</v>
      </c>
      <c r="E24" s="19">
        <f>SUM(E22:E23)</f>
        <v>-1327887.53125</v>
      </c>
      <c r="F24" s="19">
        <f t="shared" ref="F24:G24" si="0">SUM(F22:F23)</f>
        <v>-1426661.400390625</v>
      </c>
      <c r="G24" s="19">
        <f t="shared" si="0"/>
        <v>-1384584.4428955077</v>
      </c>
      <c r="H24" s="19">
        <f t="shared" ref="H24:P24" si="1">SUM(H22:H23)</f>
        <v>-1359099.0234317014</v>
      </c>
      <c r="I24" s="19">
        <f t="shared" si="1"/>
        <v>-1345615.5362245976</v>
      </c>
      <c r="J24" s="19">
        <f t="shared" si="1"/>
        <v>-1361520.4054274049</v>
      </c>
      <c r="K24" s="19">
        <f t="shared" si="1"/>
        <v>-1377624.0854952475</v>
      </c>
      <c r="L24" s="19">
        <f t="shared" si="1"/>
        <v>-1357193.0615639382</v>
      </c>
      <c r="M24" s="19">
        <f t="shared" si="1"/>
        <v>-1337211.8498334873</v>
      </c>
      <c r="N24" s="19">
        <f t="shared" si="1"/>
        <v>-1353926.9979564059</v>
      </c>
      <c r="O24" s="19">
        <f t="shared" si="1"/>
        <v>-1370851.085430861</v>
      </c>
      <c r="P24" s="20">
        <f t="shared" si="1"/>
        <v>-1387986.7239987466</v>
      </c>
    </row>
    <row r="25" spans="2:16" x14ac:dyDescent="0.2">
      <c r="B25" s="21" t="s">
        <v>23</v>
      </c>
      <c r="C25" s="5">
        <v>0</v>
      </c>
      <c r="D25" s="5">
        <v>0</v>
      </c>
      <c r="E25" s="5">
        <f>(E24*C18)</f>
        <v>-464760.63593749999</v>
      </c>
      <c r="F25" s="5">
        <f>(F24*C18)</f>
        <v>-499331.49013671873</v>
      </c>
      <c r="G25" s="5">
        <f>G24*C18</f>
        <v>-484604.55501342763</v>
      </c>
      <c r="H25" s="5">
        <f>H24*C18</f>
        <v>-475684.65820109542</v>
      </c>
      <c r="I25" s="5">
        <f>I24*C18</f>
        <v>-470965.4376786091</v>
      </c>
      <c r="J25" s="5">
        <f>J24*C18</f>
        <v>-476532.14189959166</v>
      </c>
      <c r="K25" s="5">
        <f>K24*C18</f>
        <v>-482168.4299233366</v>
      </c>
      <c r="L25" s="5">
        <f>L24*C18</f>
        <v>-475017.57154737832</v>
      </c>
      <c r="M25" s="5">
        <f>M24*C18</f>
        <v>-468024.14744172053</v>
      </c>
      <c r="N25" s="5">
        <f>N24*C18</f>
        <v>-473874.449284742</v>
      </c>
      <c r="O25" s="5">
        <f>O24*C18</f>
        <v>-479797.87990080129</v>
      </c>
      <c r="P25" s="22">
        <f>P24*C18</f>
        <v>-485795.35339956125</v>
      </c>
    </row>
    <row r="26" spans="2:16" x14ac:dyDescent="0.2">
      <c r="B26" s="14" t="s">
        <v>24</v>
      </c>
      <c r="C26" s="19">
        <v>0</v>
      </c>
      <c r="D26" s="19">
        <v>0</v>
      </c>
      <c r="E26" s="19">
        <f>E24-E25</f>
        <v>-863126.89531249995</v>
      </c>
      <c r="F26" s="19">
        <f>F24-F25</f>
        <v>-927329.91025390627</v>
      </c>
      <c r="G26" s="19">
        <f>G24-G25</f>
        <v>-899979.88788208005</v>
      </c>
      <c r="H26" s="19">
        <f t="shared" ref="H26:O26" si="2">H24-H25</f>
        <v>-883414.36523060594</v>
      </c>
      <c r="I26" s="19">
        <f t="shared" si="2"/>
        <v>-874650.09854598856</v>
      </c>
      <c r="J26" s="19">
        <f t="shared" si="2"/>
        <v>-884988.26352781325</v>
      </c>
      <c r="K26" s="19">
        <f t="shared" si="2"/>
        <v>-895455.6555719109</v>
      </c>
      <c r="L26" s="19">
        <f t="shared" si="2"/>
        <v>-882175.49001655984</v>
      </c>
      <c r="M26" s="19">
        <f t="shared" si="2"/>
        <v>-869187.70239176671</v>
      </c>
      <c r="N26" s="19">
        <f t="shared" si="2"/>
        <v>-880052.54867166386</v>
      </c>
      <c r="O26" s="19">
        <f t="shared" si="2"/>
        <v>-891053.20553005976</v>
      </c>
      <c r="P26" s="20">
        <f>P24-P25</f>
        <v>-902191.37059918535</v>
      </c>
    </row>
    <row r="27" spans="2:16" x14ac:dyDescent="0.2">
      <c r="B27" s="21" t="s">
        <v>25</v>
      </c>
      <c r="C27" s="5">
        <v>0</v>
      </c>
      <c r="D27" s="5">
        <v>0</v>
      </c>
      <c r="E27" s="5">
        <f>-E23</f>
        <v>117178</v>
      </c>
      <c r="F27" s="5">
        <f>-F23</f>
        <v>200818</v>
      </c>
      <c r="G27" s="5">
        <f>-G23</f>
        <v>143418</v>
      </c>
      <c r="H27" s="5">
        <f>-H23</f>
        <v>102418</v>
      </c>
      <c r="I27" s="5">
        <f t="shared" ref="I27:O27" si="3">-I23</f>
        <v>73226</v>
      </c>
      <c r="J27" s="5">
        <f t="shared" si="3"/>
        <v>73226</v>
      </c>
      <c r="K27" s="5">
        <f t="shared" si="3"/>
        <v>73226</v>
      </c>
      <c r="L27" s="5">
        <f t="shared" si="3"/>
        <v>36490</v>
      </c>
      <c r="M27" s="5">
        <f t="shared" si="3"/>
        <v>0</v>
      </c>
      <c r="N27" s="5">
        <f t="shared" si="3"/>
        <v>0</v>
      </c>
      <c r="O27" s="5">
        <f t="shared" si="3"/>
        <v>0</v>
      </c>
      <c r="P27" s="22">
        <f>-P23</f>
        <v>0</v>
      </c>
    </row>
    <row r="28" spans="2:16" x14ac:dyDescent="0.2">
      <c r="B28" s="14" t="s">
        <v>26</v>
      </c>
      <c r="C28" s="19">
        <v>0</v>
      </c>
      <c r="D28" s="19">
        <v>0</v>
      </c>
      <c r="E28" s="19">
        <f>SUM(E26:E27)</f>
        <v>-745948.89531249995</v>
      </c>
      <c r="F28" s="19">
        <f>SUM(F26:F27)</f>
        <v>-726511.91025390627</v>
      </c>
      <c r="G28" s="19">
        <f>SUM(G26:G27)</f>
        <v>-756561.88788208005</v>
      </c>
      <c r="H28" s="19">
        <f t="shared" ref="H28:O28" si="4">SUM(H26:H27)</f>
        <v>-780996.36523060594</v>
      </c>
      <c r="I28" s="19">
        <f t="shared" si="4"/>
        <v>-801424.09854598856</v>
      </c>
      <c r="J28" s="19">
        <f t="shared" si="4"/>
        <v>-811762.26352781325</v>
      </c>
      <c r="K28" s="19">
        <f t="shared" si="4"/>
        <v>-822229.6555719109</v>
      </c>
      <c r="L28" s="19">
        <f t="shared" si="4"/>
        <v>-845685.49001655984</v>
      </c>
      <c r="M28" s="19">
        <f t="shared" si="4"/>
        <v>-869187.70239176671</v>
      </c>
      <c r="N28" s="19">
        <f t="shared" si="4"/>
        <v>-880052.54867166386</v>
      </c>
      <c r="O28" s="19">
        <f t="shared" si="4"/>
        <v>-891053.20553005976</v>
      </c>
      <c r="P28" s="20">
        <f>SUM(P26:P27)</f>
        <v>-902191.37059918535</v>
      </c>
    </row>
    <row r="29" spans="2:16" x14ac:dyDescent="0.2">
      <c r="B29" s="14"/>
      <c r="P29" s="15"/>
    </row>
    <row r="30" spans="2:16" ht="16" thickBot="1" x14ac:dyDescent="0.25">
      <c r="B30" s="23" t="s">
        <v>27</v>
      </c>
      <c r="C30" s="2">
        <f>-(C8)</f>
        <v>-820000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4"/>
    </row>
    <row r="31" spans="2:16" x14ac:dyDescent="0.2">
      <c r="B31" s="14"/>
      <c r="P31" s="15"/>
    </row>
    <row r="32" spans="2:16" x14ac:dyDescent="0.2">
      <c r="B32" s="14" t="s">
        <v>28</v>
      </c>
      <c r="C32" s="19">
        <f t="shared" ref="C32:J32" si="5">SUM(C28:C30)</f>
        <v>-820000</v>
      </c>
      <c r="D32" s="19">
        <f t="shared" si="5"/>
        <v>0</v>
      </c>
      <c r="E32" s="19">
        <f t="shared" si="5"/>
        <v>-745948.89531249995</v>
      </c>
      <c r="F32" s="19">
        <f t="shared" si="5"/>
        <v>-726511.91025390627</v>
      </c>
      <c r="G32" s="19">
        <f t="shared" si="5"/>
        <v>-756561.88788208005</v>
      </c>
      <c r="H32" s="19">
        <f t="shared" si="5"/>
        <v>-780996.36523060594</v>
      </c>
      <c r="I32" s="19">
        <f t="shared" si="5"/>
        <v>-801424.09854598856</v>
      </c>
      <c r="J32" s="19">
        <f t="shared" si="5"/>
        <v>-811762.26352781325</v>
      </c>
      <c r="K32" s="19">
        <f t="shared" ref="K32:O32" si="6">SUM(K28:K30)</f>
        <v>-822229.6555719109</v>
      </c>
      <c r="L32" s="19">
        <f t="shared" si="6"/>
        <v>-845685.49001655984</v>
      </c>
      <c r="M32" s="19">
        <f t="shared" si="6"/>
        <v>-869187.70239176671</v>
      </c>
      <c r="N32" s="19">
        <f t="shared" si="6"/>
        <v>-880052.54867166386</v>
      </c>
      <c r="O32" s="19">
        <f t="shared" si="6"/>
        <v>-891053.20553005976</v>
      </c>
      <c r="P32" s="20">
        <f>SUM(P28:P30)</f>
        <v>-902191.37059918535</v>
      </c>
    </row>
    <row r="33" spans="2:16" x14ac:dyDescent="0.2">
      <c r="B33" s="14"/>
      <c r="P33" s="15"/>
    </row>
    <row r="34" spans="2:16" ht="16.5" customHeight="1" thickBot="1" x14ac:dyDescent="0.25">
      <c r="B34" s="35" t="s">
        <v>29</v>
      </c>
      <c r="C34" s="2">
        <f>NPV(C19,D32:P32)</f>
        <v>-5441849.3265321711</v>
      </c>
      <c r="P34" s="15"/>
    </row>
    <row r="35" spans="2:16" x14ac:dyDescent="0.2">
      <c r="B35" s="14"/>
      <c r="C35" s="25"/>
      <c r="P35" s="15"/>
    </row>
    <row r="36" spans="2:16" x14ac:dyDescent="0.2">
      <c r="B36" s="27" t="s">
        <v>30</v>
      </c>
      <c r="C36" s="28">
        <f>SUM(C32:C34)</f>
        <v>-6261849.3265321711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26"/>
    </row>
    <row r="40" spans="2:16" x14ac:dyDescent="0.2">
      <c r="B40" s="37" t="s">
        <v>31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</row>
    <row r="41" spans="2:16" x14ac:dyDescent="0.2">
      <c r="B41" s="14" t="s">
        <v>32</v>
      </c>
      <c r="C41" s="3">
        <v>600000</v>
      </c>
      <c r="P41" s="15"/>
    </row>
    <row r="42" spans="2:16" x14ac:dyDescent="0.2">
      <c r="B42" s="14" t="s">
        <v>16</v>
      </c>
      <c r="C42" s="3">
        <f>L8</f>
        <v>1020000</v>
      </c>
      <c r="P42" s="15"/>
    </row>
    <row r="43" spans="2:16" x14ac:dyDescent="0.2">
      <c r="B43" s="14" t="s">
        <v>17</v>
      </c>
      <c r="C43" s="16">
        <v>1.2500000000000001E-2</v>
      </c>
      <c r="P43" s="15"/>
    </row>
    <row r="44" spans="2:16" x14ac:dyDescent="0.2">
      <c r="B44" s="14" t="s">
        <v>18</v>
      </c>
      <c r="C44" s="17">
        <v>0.35</v>
      </c>
      <c r="P44" s="15"/>
    </row>
    <row r="45" spans="2:16" x14ac:dyDescent="0.2">
      <c r="B45" s="14" t="s">
        <v>19</v>
      </c>
      <c r="C45" s="18">
        <v>8.5000000000000006E-2</v>
      </c>
      <c r="P45" s="15"/>
    </row>
    <row r="46" spans="2:16" x14ac:dyDescent="0.2">
      <c r="B46" s="14"/>
      <c r="P46" s="15"/>
    </row>
    <row r="47" spans="2:16" x14ac:dyDescent="0.2">
      <c r="B47" s="6" t="s">
        <v>6</v>
      </c>
      <c r="C47" s="9">
        <v>0</v>
      </c>
      <c r="D47" s="9">
        <v>1</v>
      </c>
      <c r="E47" s="9">
        <v>2</v>
      </c>
      <c r="F47" s="9">
        <v>3</v>
      </c>
      <c r="G47" s="9">
        <v>4</v>
      </c>
      <c r="H47" s="9">
        <v>5</v>
      </c>
      <c r="I47" s="9">
        <v>6</v>
      </c>
      <c r="J47" s="9">
        <v>7</v>
      </c>
      <c r="K47" s="9">
        <v>8</v>
      </c>
      <c r="L47" s="9">
        <v>9</v>
      </c>
      <c r="M47" s="9">
        <v>10</v>
      </c>
      <c r="N47" s="9">
        <v>11</v>
      </c>
      <c r="O47" s="9">
        <v>12</v>
      </c>
      <c r="P47" s="9">
        <v>13</v>
      </c>
    </row>
    <row r="48" spans="2:16" x14ac:dyDescent="0.2">
      <c r="B48" s="14" t="s">
        <v>20</v>
      </c>
      <c r="C48" s="19">
        <v>0</v>
      </c>
      <c r="D48" s="19">
        <v>0</v>
      </c>
      <c r="E48" s="19">
        <f>-(C42*(1+C43)*(1+C43))</f>
        <v>-1045659.375</v>
      </c>
      <c r="F48" s="19">
        <f>E48*(1+C43)</f>
        <v>-1058730.1171875</v>
      </c>
      <c r="G48" s="19">
        <f>F48*(1+C43)</f>
        <v>-1071964.2436523438</v>
      </c>
      <c r="H48" s="19">
        <f>G48*(1+C43)</f>
        <v>-1085363.796697998</v>
      </c>
      <c r="I48" s="19">
        <f>H48*(1+C43)</f>
        <v>-1098930.8441567228</v>
      </c>
      <c r="J48" s="19">
        <f>I48*(1+C43)</f>
        <v>-1112667.4797086818</v>
      </c>
      <c r="K48" s="19">
        <f>J48*(1+C43)</f>
        <v>-1126575.8232050403</v>
      </c>
      <c r="L48" s="19">
        <f>K48*(1+C43)</f>
        <v>-1140658.0209951033</v>
      </c>
      <c r="M48" s="19">
        <f>L48*(1+C43)</f>
        <v>-1154916.2462575419</v>
      </c>
      <c r="N48" s="19">
        <f>M48*(1+C43)</f>
        <v>-1169352.6993357611</v>
      </c>
      <c r="O48" s="19">
        <f>N48*(1+C43)</f>
        <v>-1183969.6080774581</v>
      </c>
      <c r="P48" s="20">
        <f>O48*(1+C43)</f>
        <v>-1198769.2281784264</v>
      </c>
    </row>
    <row r="49" spans="2:16" x14ac:dyDescent="0.2">
      <c r="B49" s="21" t="s">
        <v>21</v>
      </c>
      <c r="C49" s="5">
        <v>0</v>
      </c>
      <c r="D49" s="5">
        <v>0</v>
      </c>
      <c r="E49" s="5">
        <f>C56*F5</f>
        <v>-202918</v>
      </c>
      <c r="F49" s="5">
        <f>C56*F6</f>
        <v>-347758</v>
      </c>
      <c r="G49" s="5">
        <f>C56*F7</f>
        <v>-248358</v>
      </c>
      <c r="H49" s="5">
        <f>C56*F8</f>
        <v>-177358</v>
      </c>
      <c r="I49" s="5">
        <f>C56*F9</f>
        <v>-126806</v>
      </c>
      <c r="J49" s="5">
        <f>C56*F10</f>
        <v>-126806</v>
      </c>
      <c r="K49" s="5">
        <f>C56*F11</f>
        <v>-126806</v>
      </c>
      <c r="L49" s="5">
        <f>C56*F12</f>
        <v>-63190</v>
      </c>
      <c r="M49" s="5">
        <v>0</v>
      </c>
      <c r="N49" s="5">
        <v>0</v>
      </c>
      <c r="O49" s="5">
        <v>0</v>
      </c>
      <c r="P49" s="22">
        <v>0</v>
      </c>
    </row>
    <row r="50" spans="2:16" x14ac:dyDescent="0.2">
      <c r="B50" s="14" t="s">
        <v>22</v>
      </c>
      <c r="C50" s="19">
        <v>0</v>
      </c>
      <c r="D50" s="19">
        <v>0</v>
      </c>
      <c r="E50" s="19">
        <f>SUM(E48:E49)</f>
        <v>-1248577.375</v>
      </c>
      <c r="F50" s="19">
        <f t="shared" ref="F50" si="7">SUM(F48:F49)</f>
        <v>-1406488.1171875</v>
      </c>
      <c r="G50" s="19">
        <f t="shared" ref="G50" si="8">SUM(G48:G49)</f>
        <v>-1320322.2436523438</v>
      </c>
      <c r="H50" s="19">
        <f t="shared" ref="H50:P50" si="9">SUM(H48:H49)</f>
        <v>-1262721.796697998</v>
      </c>
      <c r="I50" s="19">
        <f t="shared" si="9"/>
        <v>-1225736.8441567228</v>
      </c>
      <c r="J50" s="19">
        <f t="shared" si="9"/>
        <v>-1239473.4797086818</v>
      </c>
      <c r="K50" s="19">
        <f t="shared" si="9"/>
        <v>-1253381.8232050403</v>
      </c>
      <c r="L50" s="19">
        <f t="shared" si="9"/>
        <v>-1203848.0209951033</v>
      </c>
      <c r="M50" s="19">
        <f t="shared" si="9"/>
        <v>-1154916.2462575419</v>
      </c>
      <c r="N50" s="19">
        <f t="shared" si="9"/>
        <v>-1169352.6993357611</v>
      </c>
      <c r="O50" s="19">
        <f t="shared" si="9"/>
        <v>-1183969.6080774581</v>
      </c>
      <c r="P50" s="20">
        <f t="shared" si="9"/>
        <v>-1198769.2281784264</v>
      </c>
    </row>
    <row r="51" spans="2:16" x14ac:dyDescent="0.2">
      <c r="B51" s="21" t="s">
        <v>23</v>
      </c>
      <c r="C51" s="5">
        <v>0</v>
      </c>
      <c r="D51" s="5">
        <v>0</v>
      </c>
      <c r="E51" s="5">
        <f>(E50*C44)</f>
        <v>-437002.08124999999</v>
      </c>
      <c r="F51" s="5">
        <f>(F50*C44)</f>
        <v>-492270.84101562499</v>
      </c>
      <c r="G51" s="5">
        <f>G50*C44</f>
        <v>-462112.78527832025</v>
      </c>
      <c r="H51" s="5">
        <f>H50*C44</f>
        <v>-441952.62884429924</v>
      </c>
      <c r="I51" s="5">
        <f>I50*C44</f>
        <v>-429007.89545485296</v>
      </c>
      <c r="J51" s="5">
        <f>J50*C44</f>
        <v>-433815.71789803862</v>
      </c>
      <c r="K51" s="5">
        <f>K50*C44</f>
        <v>-438683.63812176406</v>
      </c>
      <c r="L51" s="5">
        <f>L50*C44</f>
        <v>-421346.80734828615</v>
      </c>
      <c r="M51" s="5">
        <f>M50*C44</f>
        <v>-404220.68619013968</v>
      </c>
      <c r="N51" s="5">
        <f>N50*C44</f>
        <v>-409273.4447675164</v>
      </c>
      <c r="O51" s="5">
        <f>O50*C44</f>
        <v>-414389.36282711034</v>
      </c>
      <c r="P51" s="22">
        <f>P50*C44</f>
        <v>-419569.22986244923</v>
      </c>
    </row>
    <row r="52" spans="2:16" x14ac:dyDescent="0.2">
      <c r="B52" s="14" t="s">
        <v>24</v>
      </c>
      <c r="C52" s="19">
        <v>0</v>
      </c>
      <c r="D52" s="19">
        <v>0</v>
      </c>
      <c r="E52" s="19">
        <f>E50-E51</f>
        <v>-811575.29374999995</v>
      </c>
      <c r="F52" s="19">
        <f>F50-F51</f>
        <v>-914217.27617187495</v>
      </c>
      <c r="G52" s="19">
        <f>G50-G51</f>
        <v>-858209.45837402344</v>
      </c>
      <c r="H52" s="19">
        <f t="shared" ref="H52" si="10">H50-H51</f>
        <v>-820769.16785369872</v>
      </c>
      <c r="I52" s="19">
        <f t="shared" ref="I52" si="11">I50-I51</f>
        <v>-796728.94870186981</v>
      </c>
      <c r="J52" s="19">
        <f t="shared" ref="J52" si="12">J50-J51</f>
        <v>-805657.76181064313</v>
      </c>
      <c r="K52" s="19">
        <f t="shared" ref="K52" si="13">K50-K51</f>
        <v>-814698.18508327624</v>
      </c>
      <c r="L52" s="19">
        <f t="shared" ref="L52" si="14">L50-L51</f>
        <v>-782501.21364681714</v>
      </c>
      <c r="M52" s="19">
        <f t="shared" ref="M52" si="15">M50-M51</f>
        <v>-750695.5600674022</v>
      </c>
      <c r="N52" s="19">
        <f t="shared" ref="N52" si="16">N50-N51</f>
        <v>-760079.2545682448</v>
      </c>
      <c r="O52" s="19">
        <f t="shared" ref="O52" si="17">O50-O51</f>
        <v>-769580.24525034777</v>
      </c>
      <c r="P52" s="20">
        <f t="shared" ref="P52" si="18">P50-P51</f>
        <v>-779199.99831597717</v>
      </c>
    </row>
    <row r="53" spans="2:16" x14ac:dyDescent="0.2">
      <c r="B53" s="21" t="s">
        <v>25</v>
      </c>
      <c r="C53" s="5">
        <v>0</v>
      </c>
      <c r="D53" s="5">
        <v>0</v>
      </c>
      <c r="E53" s="5">
        <f>-E49</f>
        <v>202918</v>
      </c>
      <c r="F53" s="5">
        <f>-F49</f>
        <v>347758</v>
      </c>
      <c r="G53" s="5">
        <f>-G49</f>
        <v>248358</v>
      </c>
      <c r="H53" s="5">
        <f>-H49</f>
        <v>177358</v>
      </c>
      <c r="I53" s="5">
        <f t="shared" ref="I53:O53" si="19">-I49</f>
        <v>126806</v>
      </c>
      <c r="J53" s="5">
        <f t="shared" si="19"/>
        <v>126806</v>
      </c>
      <c r="K53" s="5">
        <f t="shared" si="19"/>
        <v>126806</v>
      </c>
      <c r="L53" s="5">
        <f t="shared" si="19"/>
        <v>63190</v>
      </c>
      <c r="M53" s="5">
        <f t="shared" si="19"/>
        <v>0</v>
      </c>
      <c r="N53" s="5">
        <f t="shared" si="19"/>
        <v>0</v>
      </c>
      <c r="O53" s="5">
        <f t="shared" si="19"/>
        <v>0</v>
      </c>
      <c r="P53" s="22">
        <f>-P49</f>
        <v>0</v>
      </c>
    </row>
    <row r="54" spans="2:16" x14ac:dyDescent="0.2">
      <c r="B54" s="14" t="s">
        <v>26</v>
      </c>
      <c r="C54" s="19">
        <v>0</v>
      </c>
      <c r="D54" s="19">
        <v>0</v>
      </c>
      <c r="E54" s="19">
        <f>SUM(E52:E53)</f>
        <v>-608657.29374999995</v>
      </c>
      <c r="F54" s="19">
        <f>SUM(F52:F53)</f>
        <v>-566459.27617187495</v>
      </c>
      <c r="G54" s="19">
        <f>SUM(G52:G53)</f>
        <v>-609851.45837402344</v>
      </c>
      <c r="H54" s="19">
        <f t="shared" ref="H54" si="20">SUM(H52:H53)</f>
        <v>-643411.16785369872</v>
      </c>
      <c r="I54" s="19">
        <f t="shared" ref="I54" si="21">SUM(I52:I53)</f>
        <v>-669922.94870186981</v>
      </c>
      <c r="J54" s="19">
        <f t="shared" ref="J54" si="22">SUM(J52:J53)</f>
        <v>-678851.76181064313</v>
      </c>
      <c r="K54" s="19">
        <f t="shared" ref="K54" si="23">SUM(K52:K53)</f>
        <v>-687892.18508327624</v>
      </c>
      <c r="L54" s="19">
        <f t="shared" ref="L54" si="24">SUM(L52:L53)</f>
        <v>-719311.21364681714</v>
      </c>
      <c r="M54" s="19">
        <f t="shared" ref="M54" si="25">SUM(M52:M53)</f>
        <v>-750695.5600674022</v>
      </c>
      <c r="N54" s="19">
        <f t="shared" ref="N54" si="26">SUM(N52:N53)</f>
        <v>-760079.2545682448</v>
      </c>
      <c r="O54" s="19">
        <f t="shared" ref="O54" si="27">SUM(O52:O53)</f>
        <v>-769580.24525034777</v>
      </c>
      <c r="P54" s="20">
        <f t="shared" ref="P54" si="28">SUM(P52:P53)</f>
        <v>-779199.99831597717</v>
      </c>
    </row>
    <row r="55" spans="2:16" x14ac:dyDescent="0.2">
      <c r="B55" s="14"/>
      <c r="P55" s="15"/>
    </row>
    <row r="56" spans="2:16" ht="16" thickBot="1" x14ac:dyDescent="0.25">
      <c r="B56" s="23" t="s">
        <v>27</v>
      </c>
      <c r="C56" s="2">
        <f>-(C8+C41)</f>
        <v>-1420000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4"/>
    </row>
    <row r="57" spans="2:16" x14ac:dyDescent="0.2">
      <c r="B57" s="14"/>
      <c r="P57" s="15"/>
    </row>
    <row r="58" spans="2:16" x14ac:dyDescent="0.2">
      <c r="B58" s="14" t="s">
        <v>28</v>
      </c>
      <c r="C58" s="19">
        <f t="shared" ref="C58:J58" si="29">SUM(C54:C56)</f>
        <v>-1420000</v>
      </c>
      <c r="D58" s="19">
        <f t="shared" si="29"/>
        <v>0</v>
      </c>
      <c r="E58" s="19">
        <f t="shared" si="29"/>
        <v>-608657.29374999995</v>
      </c>
      <c r="F58" s="19">
        <f t="shared" si="29"/>
        <v>-566459.27617187495</v>
      </c>
      <c r="G58" s="19">
        <f t="shared" si="29"/>
        <v>-609851.45837402344</v>
      </c>
      <c r="H58" s="19">
        <f t="shared" si="29"/>
        <v>-643411.16785369872</v>
      </c>
      <c r="I58" s="19">
        <f t="shared" si="29"/>
        <v>-669922.94870186981</v>
      </c>
      <c r="J58" s="19">
        <f t="shared" si="29"/>
        <v>-678851.76181064313</v>
      </c>
      <c r="K58" s="19">
        <f t="shared" ref="K58:O58" si="30">SUM(K54:K56)</f>
        <v>-687892.18508327624</v>
      </c>
      <c r="L58" s="19">
        <f t="shared" si="30"/>
        <v>-719311.21364681714</v>
      </c>
      <c r="M58" s="19">
        <f t="shared" si="30"/>
        <v>-750695.5600674022</v>
      </c>
      <c r="N58" s="19">
        <f t="shared" si="30"/>
        <v>-760079.2545682448</v>
      </c>
      <c r="O58" s="19">
        <f t="shared" si="30"/>
        <v>-769580.24525034777</v>
      </c>
      <c r="P58" s="20">
        <f>SUM(P54:P56)</f>
        <v>-779199.99831597717</v>
      </c>
    </row>
    <row r="59" spans="2:16" x14ac:dyDescent="0.2">
      <c r="B59" s="14"/>
      <c r="P59" s="15"/>
    </row>
    <row r="60" spans="2:16" ht="16" x14ac:dyDescent="0.2">
      <c r="B60" s="34" t="s">
        <v>29</v>
      </c>
      <c r="C60" s="2">
        <f>NPV(C45,D58:P58)</f>
        <v>-4526740.8811148731</v>
      </c>
      <c r="P60" s="15"/>
    </row>
    <row r="61" spans="2:16" x14ac:dyDescent="0.2">
      <c r="B61" s="14"/>
      <c r="C61" s="25"/>
      <c r="P61" s="15"/>
    </row>
    <row r="62" spans="2:16" x14ac:dyDescent="0.2">
      <c r="B62" s="27" t="s">
        <v>33</v>
      </c>
      <c r="C62" s="28">
        <f>SUM(C58:C60)</f>
        <v>-5946740.8811148731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6"/>
    </row>
    <row r="66" spans="2:24" x14ac:dyDescent="0.2">
      <c r="B66" s="37" t="s">
        <v>34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9"/>
    </row>
    <row r="67" spans="2:24" x14ac:dyDescent="0.2">
      <c r="B67" s="14" t="s">
        <v>35</v>
      </c>
      <c r="C67" s="3">
        <v>3000000</v>
      </c>
      <c r="X67" s="15"/>
    </row>
    <row r="68" spans="2:24" x14ac:dyDescent="0.2">
      <c r="B68" s="14" t="s">
        <v>16</v>
      </c>
      <c r="C68" s="3">
        <f>O8</f>
        <v>885000</v>
      </c>
      <c r="X68" s="15"/>
    </row>
    <row r="69" spans="2:24" x14ac:dyDescent="0.2">
      <c r="B69" s="14" t="s">
        <v>17</v>
      </c>
      <c r="C69" s="16">
        <v>1.2500000000000001E-2</v>
      </c>
      <c r="X69" s="15"/>
    </row>
    <row r="70" spans="2:24" x14ac:dyDescent="0.2">
      <c r="B70" s="14" t="s">
        <v>18</v>
      </c>
      <c r="C70" s="17">
        <v>0.35</v>
      </c>
      <c r="X70" s="15"/>
    </row>
    <row r="71" spans="2:24" x14ac:dyDescent="0.2">
      <c r="B71" s="14" t="s">
        <v>19</v>
      </c>
      <c r="C71" s="18">
        <v>8.5000000000000006E-2</v>
      </c>
      <c r="X71" s="15"/>
    </row>
    <row r="72" spans="2:24" x14ac:dyDescent="0.2">
      <c r="B72" s="14"/>
      <c r="X72" s="15"/>
    </row>
    <row r="73" spans="2:24" x14ac:dyDescent="0.2">
      <c r="B73" s="6" t="s">
        <v>6</v>
      </c>
      <c r="C73" s="9">
        <v>0</v>
      </c>
      <c r="D73" s="9">
        <v>1</v>
      </c>
      <c r="E73" s="9">
        <v>2</v>
      </c>
      <c r="F73" s="9">
        <v>3</v>
      </c>
      <c r="G73" s="9">
        <v>4</v>
      </c>
      <c r="H73" s="9">
        <v>5</v>
      </c>
      <c r="I73" s="9">
        <v>6</v>
      </c>
      <c r="J73" s="9">
        <v>7</v>
      </c>
      <c r="K73" s="9">
        <v>8</v>
      </c>
      <c r="L73" s="9">
        <v>9</v>
      </c>
      <c r="M73" s="9">
        <v>10</v>
      </c>
      <c r="N73" s="9">
        <v>11</v>
      </c>
      <c r="O73" s="9">
        <v>12</v>
      </c>
      <c r="P73" s="9">
        <v>13</v>
      </c>
      <c r="Q73" s="9">
        <v>14</v>
      </c>
      <c r="R73" s="9">
        <v>15</v>
      </c>
      <c r="S73" s="9">
        <v>16</v>
      </c>
      <c r="T73" s="9">
        <v>17</v>
      </c>
      <c r="U73" s="9">
        <v>18</v>
      </c>
      <c r="V73" s="9">
        <v>19</v>
      </c>
      <c r="W73" s="9">
        <v>20</v>
      </c>
      <c r="X73" s="9">
        <v>21</v>
      </c>
    </row>
    <row r="74" spans="2:24" x14ac:dyDescent="0.2">
      <c r="B74" s="14" t="s">
        <v>36</v>
      </c>
      <c r="C74" s="19">
        <v>0</v>
      </c>
      <c r="D74" s="19">
        <v>0</v>
      </c>
      <c r="E74" s="19">
        <v>175000</v>
      </c>
      <c r="F74" s="19">
        <f>E74*(1+C69)</f>
        <v>177187.5</v>
      </c>
      <c r="G74" s="19">
        <f>F74*(1+C69)</f>
        <v>179402.34375</v>
      </c>
      <c r="H74" s="19">
        <f>G74*(1+C69)</f>
        <v>181644.873046875</v>
      </c>
      <c r="I74" s="19">
        <f>H74*(1+C69)</f>
        <v>183915.43395996094</v>
      </c>
      <c r="J74" s="19">
        <f>I74*(1+C69)</f>
        <v>186214.37688446045</v>
      </c>
      <c r="K74" s="19">
        <f>J74*(1+C69)</f>
        <v>188542.05659551619</v>
      </c>
      <c r="L74" s="19">
        <f>K74*(1+C69)</f>
        <v>190898.83230296013</v>
      </c>
      <c r="M74" s="19">
        <f>L74*(1+C69)</f>
        <v>193285.06770674713</v>
      </c>
      <c r="N74" s="19">
        <f>M74*(1+C69)</f>
        <v>195701.13105308145</v>
      </c>
      <c r="O74" s="19">
        <f>N74*(1+C69)</f>
        <v>198147.39519124496</v>
      </c>
      <c r="P74" s="19">
        <f>O74*(1+C69)</f>
        <v>200624.2376311355</v>
      </c>
      <c r="Q74" s="19">
        <f>P74*(1+C69)</f>
        <v>203132.0406015247</v>
      </c>
      <c r="R74" s="19">
        <f>Q74*(1+C69)</f>
        <v>205671.19110904375</v>
      </c>
      <c r="S74" s="19">
        <f>R74*(1+C69)</f>
        <v>208242.0809979068</v>
      </c>
      <c r="T74" s="19">
        <f>S74*(1+C69)</f>
        <v>210845.10701038063</v>
      </c>
      <c r="U74" s="19">
        <f>T74*(1+C69)</f>
        <v>213480.67084801037</v>
      </c>
      <c r="V74" s="19">
        <f>U74*(1+C69)</f>
        <v>216149.17923361048</v>
      </c>
      <c r="W74" s="19">
        <f>V74*(1+C69)</f>
        <v>218851.04397403062</v>
      </c>
      <c r="X74" s="20">
        <f>W74*(1+C69)</f>
        <v>221586.682023706</v>
      </c>
    </row>
    <row r="75" spans="2:24" x14ac:dyDescent="0.2">
      <c r="B75" s="14" t="s">
        <v>20</v>
      </c>
      <c r="C75" s="19">
        <v>0</v>
      </c>
      <c r="D75" s="19">
        <v>0</v>
      </c>
      <c r="E75" s="19">
        <f>-(C68*(1+C69)*(1+C69))</f>
        <v>-907263.28125</v>
      </c>
      <c r="F75" s="19">
        <f>E75*(1+C69)</f>
        <v>-918604.072265625</v>
      </c>
      <c r="G75" s="19">
        <f>F75*(1+C69)</f>
        <v>-930086.62316894531</v>
      </c>
      <c r="H75" s="19">
        <f>G75*(1+C69)</f>
        <v>-941712.70595855708</v>
      </c>
      <c r="I75" s="19">
        <f>H75*(1+C69)</f>
        <v>-953484.11478303897</v>
      </c>
      <c r="J75" s="19">
        <f>I75*(1+C69)</f>
        <v>-965402.66621782689</v>
      </c>
      <c r="K75" s="19">
        <f>J75*(1+C69)</f>
        <v>-977470.19954554969</v>
      </c>
      <c r="L75" s="19">
        <f>K75*(1+C69)</f>
        <v>-989688.57703986904</v>
      </c>
      <c r="M75" s="19">
        <f>L75*(1+C69)</f>
        <v>-1002059.6842528674</v>
      </c>
      <c r="N75" s="19">
        <f>M75*(1+C69)</f>
        <v>-1014585.4303060281</v>
      </c>
      <c r="O75" s="19">
        <f>N75*(1+C69)</f>
        <v>-1027267.7481848535</v>
      </c>
      <c r="P75" s="19">
        <f>O75*(1+C69)</f>
        <v>-1040108.5950371641</v>
      </c>
      <c r="Q75" s="19">
        <f>P75*(1+C69)</f>
        <v>-1053109.9524751285</v>
      </c>
      <c r="R75" s="19">
        <f>Q75*(1+C69)</f>
        <v>-1066273.8268810676</v>
      </c>
      <c r="S75" s="19">
        <f>R75*(1+C69)</f>
        <v>-1079602.249717081</v>
      </c>
      <c r="T75" s="19">
        <f>S75*(1+C69)</f>
        <v>-1093097.2778385445</v>
      </c>
      <c r="U75" s="19">
        <f>T75*(1+C69)</f>
        <v>-1106760.9938115261</v>
      </c>
      <c r="V75" s="19">
        <f>U75*(1+C69)</f>
        <v>-1120595.5062341702</v>
      </c>
      <c r="W75" s="19">
        <f>V75*(1+C69)</f>
        <v>-1134602.9500620973</v>
      </c>
      <c r="X75" s="20">
        <f>W75*(1+C69)</f>
        <v>-1148785.4869378735</v>
      </c>
    </row>
    <row r="76" spans="2:24" x14ac:dyDescent="0.2">
      <c r="B76" s="14" t="s">
        <v>37</v>
      </c>
      <c r="C76" s="19">
        <v>0</v>
      </c>
      <c r="D76" s="19">
        <v>0</v>
      </c>
      <c r="E76" s="19">
        <v>-50000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20">
        <v>0</v>
      </c>
    </row>
    <row r="77" spans="2:24" x14ac:dyDescent="0.2">
      <c r="B77" s="21" t="s">
        <v>21</v>
      </c>
      <c r="C77" s="5">
        <v>0</v>
      </c>
      <c r="D77" s="5">
        <v>0</v>
      </c>
      <c r="E77" s="5">
        <f>-C67*F5</f>
        <v>-428700</v>
      </c>
      <c r="F77" s="5">
        <f>-C67*F6</f>
        <v>-734700</v>
      </c>
      <c r="G77" s="5">
        <f>-C67*F7</f>
        <v>-524700</v>
      </c>
      <c r="H77" s="5">
        <f>-C67*F8</f>
        <v>-374700</v>
      </c>
      <c r="I77" s="5">
        <f>-C67*F9</f>
        <v>-267900</v>
      </c>
      <c r="J77" s="5">
        <f>-C67*F10</f>
        <v>-267900</v>
      </c>
      <c r="K77" s="5">
        <f>-C67*F11</f>
        <v>-267900</v>
      </c>
      <c r="L77" s="5">
        <f>-C67*F12</f>
        <v>-133500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22">
        <v>0</v>
      </c>
    </row>
    <row r="78" spans="2:24" x14ac:dyDescent="0.2">
      <c r="B78" s="14" t="s">
        <v>22</v>
      </c>
      <c r="C78" s="19">
        <v>0</v>
      </c>
      <c r="D78" s="19">
        <v>0</v>
      </c>
      <c r="E78" s="19">
        <f t="shared" ref="E78:X78" si="31">SUM(E74:E77)</f>
        <v>-1210963.28125</v>
      </c>
      <c r="F78" s="19">
        <f t="shared" si="31"/>
        <v>-1476116.572265625</v>
      </c>
      <c r="G78" s="19">
        <f t="shared" si="31"/>
        <v>-1275384.2794189453</v>
      </c>
      <c r="H78" s="19">
        <f t="shared" si="31"/>
        <v>-1134767.8329116821</v>
      </c>
      <c r="I78" s="19">
        <f t="shared" si="31"/>
        <v>-1037468.680823078</v>
      </c>
      <c r="J78" s="19">
        <f t="shared" si="31"/>
        <v>-1047088.2893333664</v>
      </c>
      <c r="K78" s="19">
        <f t="shared" si="31"/>
        <v>-1056828.1429500335</v>
      </c>
      <c r="L78" s="19">
        <f t="shared" si="31"/>
        <v>-932289.74473690894</v>
      </c>
      <c r="M78" s="19">
        <f t="shared" si="31"/>
        <v>-808774.61654612026</v>
      </c>
      <c r="N78" s="19">
        <f t="shared" si="31"/>
        <v>-818884.29925294663</v>
      </c>
      <c r="O78" s="19">
        <f t="shared" si="31"/>
        <v>-829120.35299360845</v>
      </c>
      <c r="P78" s="19">
        <f t="shared" si="31"/>
        <v>-839484.35740602855</v>
      </c>
      <c r="Q78" s="19">
        <f t="shared" si="31"/>
        <v>-849977.91187360371</v>
      </c>
      <c r="R78" s="19">
        <f t="shared" si="31"/>
        <v>-860602.63577202382</v>
      </c>
      <c r="S78" s="19">
        <f t="shared" si="31"/>
        <v>-871360.16871917411</v>
      </c>
      <c r="T78" s="19">
        <f t="shared" si="31"/>
        <v>-882252.17082816386</v>
      </c>
      <c r="U78" s="19">
        <f t="shared" si="31"/>
        <v>-893280.32296351576</v>
      </c>
      <c r="V78" s="19">
        <f t="shared" si="31"/>
        <v>-904446.32700055966</v>
      </c>
      <c r="W78" s="19">
        <f t="shared" si="31"/>
        <v>-915751.90608806664</v>
      </c>
      <c r="X78" s="20">
        <f t="shared" si="31"/>
        <v>-927198.8049141675</v>
      </c>
    </row>
    <row r="79" spans="2:24" x14ac:dyDescent="0.2">
      <c r="B79" s="21" t="s">
        <v>23</v>
      </c>
      <c r="C79" s="5">
        <v>0</v>
      </c>
      <c r="D79" s="5">
        <v>0</v>
      </c>
      <c r="E79" s="5">
        <f>(E78*C70)</f>
        <v>-423837.1484375</v>
      </c>
      <c r="F79" s="5">
        <f>(F78*C70)</f>
        <v>-516640.80029296869</v>
      </c>
      <c r="G79" s="5">
        <f>G78*C70</f>
        <v>-446384.49779663084</v>
      </c>
      <c r="H79" s="5">
        <f>H78*C70</f>
        <v>-397168.74151908868</v>
      </c>
      <c r="I79" s="5">
        <f>I78*C70</f>
        <v>-363114.03828807728</v>
      </c>
      <c r="J79" s="5">
        <f>J78*C70</f>
        <v>-366480.90126667824</v>
      </c>
      <c r="K79" s="5">
        <f>K78*C70</f>
        <v>-369889.85003251169</v>
      </c>
      <c r="L79" s="5">
        <f>L78*C70</f>
        <v>-326301.41065791808</v>
      </c>
      <c r="M79" s="5">
        <f>M78*C70</f>
        <v>-283071.11579114205</v>
      </c>
      <c r="N79" s="5">
        <f>N78*C70</f>
        <v>-286609.50473853131</v>
      </c>
      <c r="O79" s="5">
        <f>O78*C70</f>
        <v>-290192.12354776292</v>
      </c>
      <c r="P79" s="5">
        <f>P78*C70</f>
        <v>-293819.52509210998</v>
      </c>
      <c r="Q79" s="5">
        <f>Q78*C70</f>
        <v>-297492.26915576129</v>
      </c>
      <c r="R79" s="5">
        <f>R78*C70</f>
        <v>-301210.92252020829</v>
      </c>
      <c r="S79" s="5">
        <f>S78*C70</f>
        <v>-304976.05905171094</v>
      </c>
      <c r="T79" s="5">
        <f>T78*C70</f>
        <v>-308788.25978985731</v>
      </c>
      <c r="U79" s="5">
        <f>U78*C70</f>
        <v>-312648.11303723051</v>
      </c>
      <c r="V79" s="5">
        <f>V78*C70</f>
        <v>-316556.21445019584</v>
      </c>
      <c r="W79" s="5">
        <f>W78*C70</f>
        <v>-320513.16713082331</v>
      </c>
      <c r="X79" s="22">
        <f>X78*C70</f>
        <v>-324519.58171995863</v>
      </c>
    </row>
    <row r="80" spans="2:24" x14ac:dyDescent="0.2">
      <c r="B80" s="14" t="s">
        <v>24</v>
      </c>
      <c r="C80" s="19">
        <v>0</v>
      </c>
      <c r="D80" s="19">
        <v>0</v>
      </c>
      <c r="E80" s="19">
        <f>E78-E79</f>
        <v>-787126.1328125</v>
      </c>
      <c r="F80" s="19">
        <f>F78-F79</f>
        <v>-959475.77197265625</v>
      </c>
      <c r="G80" s="19">
        <f>G78-G79</f>
        <v>-828999.78162231448</v>
      </c>
      <c r="H80" s="19">
        <f t="shared" ref="H80" si="32">H78-H79</f>
        <v>-737599.09139259346</v>
      </c>
      <c r="I80" s="19">
        <f t="shared" ref="I80" si="33">I78-I79</f>
        <v>-674354.64253500081</v>
      </c>
      <c r="J80" s="19">
        <f t="shared" ref="J80" si="34">J78-J79</f>
        <v>-680607.3880666882</v>
      </c>
      <c r="K80" s="19">
        <f t="shared" ref="K80" si="35">K78-K79</f>
        <v>-686938.2929175219</v>
      </c>
      <c r="L80" s="19">
        <f t="shared" ref="L80" si="36">L78-L79</f>
        <v>-605988.33407899085</v>
      </c>
      <c r="M80" s="19">
        <f t="shared" ref="M80" si="37">M78-M79</f>
        <v>-525703.50075497827</v>
      </c>
      <c r="N80" s="19">
        <f t="shared" ref="N80" si="38">N78-N79</f>
        <v>-532274.79451441532</v>
      </c>
      <c r="O80" s="19">
        <f t="shared" ref="O80" si="39">O78-O79</f>
        <v>-538928.22944584559</v>
      </c>
      <c r="P80" s="19">
        <f t="shared" ref="P80" si="40">P78-P79</f>
        <v>-545664.83231391851</v>
      </c>
      <c r="Q80" s="19">
        <f t="shared" ref="Q80" si="41">Q78-Q79</f>
        <v>-552485.64271784248</v>
      </c>
      <c r="R80" s="19">
        <f t="shared" ref="R80" si="42">R78-R79</f>
        <v>-559391.71325181553</v>
      </c>
      <c r="S80" s="19">
        <f t="shared" ref="S80" si="43">S78-S79</f>
        <v>-566384.10966746323</v>
      </c>
      <c r="T80" s="19">
        <f t="shared" ref="T80" si="44">T78-T79</f>
        <v>-573463.91103830654</v>
      </c>
      <c r="U80" s="19">
        <f t="shared" ref="U80" si="45">U78-U79</f>
        <v>-580632.20992628532</v>
      </c>
      <c r="V80" s="19">
        <f t="shared" ref="V80" si="46">V78-V79</f>
        <v>-587890.11255036388</v>
      </c>
      <c r="W80" s="19">
        <f t="shared" ref="W80" si="47">W78-W79</f>
        <v>-595238.73895724327</v>
      </c>
      <c r="X80" s="20">
        <f t="shared" ref="X80" si="48">X78-X79</f>
        <v>-602679.22319420893</v>
      </c>
    </row>
    <row r="81" spans="2:24" x14ac:dyDescent="0.2">
      <c r="B81" s="21" t="s">
        <v>25</v>
      </c>
      <c r="C81" s="5">
        <v>0</v>
      </c>
      <c r="D81" s="5">
        <v>0</v>
      </c>
      <c r="E81" s="5">
        <f>-E77</f>
        <v>428700</v>
      </c>
      <c r="F81" s="5">
        <f>-F77</f>
        <v>734700</v>
      </c>
      <c r="G81" s="5">
        <f>-G77</f>
        <v>524700</v>
      </c>
      <c r="H81" s="5">
        <f>-H77</f>
        <v>374700</v>
      </c>
      <c r="I81" s="5">
        <f t="shared" ref="I81:O81" si="49">-I77</f>
        <v>267900</v>
      </c>
      <c r="J81" s="5">
        <f t="shared" si="49"/>
        <v>267900</v>
      </c>
      <c r="K81" s="5">
        <f t="shared" si="49"/>
        <v>267900</v>
      </c>
      <c r="L81" s="5">
        <f t="shared" si="49"/>
        <v>133500</v>
      </c>
      <c r="M81" s="5">
        <f t="shared" si="49"/>
        <v>0</v>
      </c>
      <c r="N81" s="5">
        <f t="shared" si="49"/>
        <v>0</v>
      </c>
      <c r="O81" s="5">
        <f t="shared" si="49"/>
        <v>0</v>
      </c>
      <c r="P81" s="5">
        <f t="shared" ref="P81:X81" si="50">-P77</f>
        <v>0</v>
      </c>
      <c r="Q81" s="5">
        <f t="shared" si="50"/>
        <v>0</v>
      </c>
      <c r="R81" s="5">
        <f t="shared" si="50"/>
        <v>0</v>
      </c>
      <c r="S81" s="5">
        <f t="shared" si="50"/>
        <v>0</v>
      </c>
      <c r="T81" s="5">
        <f t="shared" si="50"/>
        <v>0</v>
      </c>
      <c r="U81" s="5">
        <f t="shared" si="50"/>
        <v>0</v>
      </c>
      <c r="V81" s="5">
        <f t="shared" si="50"/>
        <v>0</v>
      </c>
      <c r="W81" s="5">
        <f t="shared" si="50"/>
        <v>0</v>
      </c>
      <c r="X81" s="22">
        <f t="shared" si="50"/>
        <v>0</v>
      </c>
    </row>
    <row r="82" spans="2:24" x14ac:dyDescent="0.2">
      <c r="B82" s="14" t="s">
        <v>26</v>
      </c>
      <c r="C82" s="19">
        <v>0</v>
      </c>
      <c r="D82" s="19">
        <v>0</v>
      </c>
      <c r="E82" s="19">
        <f>SUM(E80:E81)</f>
        <v>-358426.1328125</v>
      </c>
      <c r="F82" s="19">
        <f>SUM(F80:F81)</f>
        <v>-224775.77197265625</v>
      </c>
      <c r="G82" s="19">
        <f>SUM(G80:G81)</f>
        <v>-304299.78162231448</v>
      </c>
      <c r="H82" s="19">
        <f t="shared" ref="H82" si="51">SUM(H80:H81)</f>
        <v>-362899.09139259346</v>
      </c>
      <c r="I82" s="19">
        <f t="shared" ref="I82" si="52">SUM(I80:I81)</f>
        <v>-406454.64253500081</v>
      </c>
      <c r="J82" s="19">
        <f t="shared" ref="J82" si="53">SUM(J80:J81)</f>
        <v>-412707.3880666882</v>
      </c>
      <c r="K82" s="19">
        <f t="shared" ref="K82" si="54">SUM(K80:K81)</f>
        <v>-419038.2929175219</v>
      </c>
      <c r="L82" s="19">
        <f t="shared" ref="L82" si="55">SUM(L80:L81)</f>
        <v>-472488.33407899085</v>
      </c>
      <c r="M82" s="19">
        <f t="shared" ref="M82" si="56">SUM(M80:M81)</f>
        <v>-525703.50075497827</v>
      </c>
      <c r="N82" s="19">
        <f t="shared" ref="N82" si="57">SUM(N80:N81)</f>
        <v>-532274.79451441532</v>
      </c>
      <c r="O82" s="19">
        <f t="shared" ref="O82" si="58">SUM(O80:O81)</f>
        <v>-538928.22944584559</v>
      </c>
      <c r="P82" s="19">
        <f t="shared" ref="P82" si="59">SUM(P80:P81)</f>
        <v>-545664.83231391851</v>
      </c>
      <c r="Q82" s="19">
        <f t="shared" ref="Q82" si="60">SUM(Q80:Q81)</f>
        <v>-552485.64271784248</v>
      </c>
      <c r="R82" s="19">
        <f t="shared" ref="R82" si="61">SUM(R80:R81)</f>
        <v>-559391.71325181553</v>
      </c>
      <c r="S82" s="19">
        <f t="shared" ref="S82" si="62">SUM(S80:S81)</f>
        <v>-566384.10966746323</v>
      </c>
      <c r="T82" s="19">
        <f t="shared" ref="T82" si="63">SUM(T80:T81)</f>
        <v>-573463.91103830654</v>
      </c>
      <c r="U82" s="19">
        <f t="shared" ref="U82" si="64">SUM(U80:U81)</f>
        <v>-580632.20992628532</v>
      </c>
      <c r="V82" s="19">
        <f t="shared" ref="V82" si="65">SUM(V80:V81)</f>
        <v>-587890.11255036388</v>
      </c>
      <c r="W82" s="19">
        <f t="shared" ref="W82" si="66">SUM(W80:W81)</f>
        <v>-595238.73895724327</v>
      </c>
      <c r="X82" s="20">
        <f t="shared" ref="X82" si="67">SUM(X80:X81)</f>
        <v>-602679.22319420893</v>
      </c>
    </row>
    <row r="83" spans="2:24" x14ac:dyDescent="0.2">
      <c r="B83" s="14"/>
      <c r="X83" s="15"/>
    </row>
    <row r="84" spans="2:24" x14ac:dyDescent="0.2">
      <c r="B84" s="14" t="s">
        <v>38</v>
      </c>
      <c r="C84" s="19">
        <f>-(C67*0.5)</f>
        <v>-1500000</v>
      </c>
      <c r="D84" s="19">
        <f>-(C67*0.5)</f>
        <v>-1500000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20">
        <v>0</v>
      </c>
    </row>
    <row r="85" spans="2:24" ht="16" thickBot="1" x14ac:dyDescent="0.25">
      <c r="B85" s="23" t="s">
        <v>39</v>
      </c>
      <c r="C85" s="2">
        <f>-(C59)</f>
        <v>0</v>
      </c>
      <c r="D85" s="2">
        <v>100000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4">
        <v>0</v>
      </c>
    </row>
    <row r="86" spans="2:24" x14ac:dyDescent="0.2">
      <c r="B86" s="14"/>
      <c r="X86" s="15"/>
    </row>
    <row r="87" spans="2:24" x14ac:dyDescent="0.2">
      <c r="B87" s="14" t="s">
        <v>28</v>
      </c>
      <c r="C87" s="19">
        <f t="shared" ref="C87:O87" si="68">SUM(C82:C85)</f>
        <v>-1500000</v>
      </c>
      <c r="D87" s="19">
        <f t="shared" si="68"/>
        <v>-1400000</v>
      </c>
      <c r="E87" s="19">
        <f t="shared" si="68"/>
        <v>-358426.1328125</v>
      </c>
      <c r="F87" s="19">
        <f t="shared" si="68"/>
        <v>-224775.77197265625</v>
      </c>
      <c r="G87" s="19">
        <f t="shared" si="68"/>
        <v>-304299.78162231448</v>
      </c>
      <c r="H87" s="19">
        <f t="shared" si="68"/>
        <v>-362899.09139259346</v>
      </c>
      <c r="I87" s="19">
        <f t="shared" si="68"/>
        <v>-406454.64253500081</v>
      </c>
      <c r="J87" s="19">
        <f t="shared" si="68"/>
        <v>-412707.3880666882</v>
      </c>
      <c r="K87" s="19">
        <f t="shared" si="68"/>
        <v>-419038.2929175219</v>
      </c>
      <c r="L87" s="19">
        <f t="shared" si="68"/>
        <v>-472488.33407899085</v>
      </c>
      <c r="M87" s="19">
        <f t="shared" si="68"/>
        <v>-525703.50075497827</v>
      </c>
      <c r="N87" s="19">
        <f t="shared" si="68"/>
        <v>-532274.79451441532</v>
      </c>
      <c r="O87" s="19">
        <f t="shared" si="68"/>
        <v>-538928.22944584559</v>
      </c>
      <c r="P87" s="19">
        <f t="shared" ref="P87:X87" si="69">SUM(P82:P85)</f>
        <v>-545664.83231391851</v>
      </c>
      <c r="Q87" s="19">
        <f t="shared" si="69"/>
        <v>-552485.64271784248</v>
      </c>
      <c r="R87" s="19">
        <f t="shared" si="69"/>
        <v>-559391.71325181553</v>
      </c>
      <c r="S87" s="19">
        <f t="shared" si="69"/>
        <v>-566384.10966746323</v>
      </c>
      <c r="T87" s="19">
        <f t="shared" si="69"/>
        <v>-573463.91103830654</v>
      </c>
      <c r="U87" s="19">
        <f t="shared" si="69"/>
        <v>-580632.20992628532</v>
      </c>
      <c r="V87" s="19">
        <f t="shared" si="69"/>
        <v>-587890.11255036388</v>
      </c>
      <c r="W87" s="19">
        <f t="shared" si="69"/>
        <v>-595238.73895724327</v>
      </c>
      <c r="X87" s="20">
        <f t="shared" si="69"/>
        <v>-602679.22319420893</v>
      </c>
    </row>
    <row r="88" spans="2:24" x14ac:dyDescent="0.2">
      <c r="B88" s="14"/>
      <c r="X88" s="15"/>
    </row>
    <row r="89" spans="2:24" ht="17.25" customHeight="1" thickBot="1" x14ac:dyDescent="0.25">
      <c r="B89" s="34" t="s">
        <v>40</v>
      </c>
      <c r="C89" s="2">
        <f>NPV(C71,D87:X87)</f>
        <v>-5121071.2786788736</v>
      </c>
      <c r="X89" s="15"/>
    </row>
    <row r="90" spans="2:24" x14ac:dyDescent="0.2">
      <c r="B90" s="14"/>
      <c r="C90" s="25"/>
      <c r="X90" s="15"/>
    </row>
    <row r="91" spans="2:24" x14ac:dyDescent="0.2">
      <c r="B91" s="27" t="s">
        <v>41</v>
      </c>
      <c r="C91" s="28">
        <f>SUM(C87:C89)</f>
        <v>-6621071.2786788736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</row>
    <row r="95" spans="2:24" x14ac:dyDescent="0.2">
      <c r="B95" s="42" t="s">
        <v>42</v>
      </c>
      <c r="C95" s="43"/>
    </row>
    <row r="96" spans="2:24" x14ac:dyDescent="0.2">
      <c r="B96" s="14" t="s">
        <v>43</v>
      </c>
      <c r="C96" s="29">
        <f>C19</f>
        <v>8.5000000000000006E-2</v>
      </c>
    </row>
    <row r="97" spans="2:3" x14ac:dyDescent="0.2">
      <c r="B97" s="14" t="s">
        <v>44</v>
      </c>
      <c r="C97" s="31">
        <f>C17</f>
        <v>1.2500000000000001E-2</v>
      </c>
    </row>
    <row r="98" spans="2:3" x14ac:dyDescent="0.2">
      <c r="B98" s="14" t="s">
        <v>45</v>
      </c>
      <c r="C98" s="31">
        <f>((1+C96)/(1+C97))-1</f>
        <v>7.1604938271604857E-2</v>
      </c>
    </row>
    <row r="99" spans="2:3" x14ac:dyDescent="0.2">
      <c r="B99" s="44" t="s">
        <v>46</v>
      </c>
      <c r="C99" s="45"/>
    </row>
    <row r="100" spans="2:3" x14ac:dyDescent="0.2">
      <c r="B100" s="14" t="s">
        <v>47</v>
      </c>
      <c r="C100" s="15">
        <f>P21</f>
        <v>13</v>
      </c>
    </row>
    <row r="101" spans="2:3" x14ac:dyDescent="0.2">
      <c r="B101" s="14" t="s">
        <v>48</v>
      </c>
      <c r="C101" s="30">
        <f>C36</f>
        <v>-6261849.3265321711</v>
      </c>
    </row>
    <row r="102" spans="2:3" x14ac:dyDescent="0.2">
      <c r="B102" s="36" t="s">
        <v>49</v>
      </c>
      <c r="C102" s="32">
        <f>PMT(C98,C100,C101)</f>
        <v>756065.82238684082</v>
      </c>
    </row>
    <row r="103" spans="2:3" x14ac:dyDescent="0.2">
      <c r="B103" s="44" t="s">
        <v>50</v>
      </c>
      <c r="C103" s="45"/>
    </row>
    <row r="104" spans="2:3" x14ac:dyDescent="0.2">
      <c r="B104" s="14" t="s">
        <v>47</v>
      </c>
      <c r="C104" s="15">
        <f>P47</f>
        <v>13</v>
      </c>
    </row>
    <row r="105" spans="2:3" x14ac:dyDescent="0.2">
      <c r="B105" s="14" t="s">
        <v>48</v>
      </c>
      <c r="C105" s="30">
        <f>C62</f>
        <v>-5946740.8811148731</v>
      </c>
    </row>
    <row r="106" spans="2:3" x14ac:dyDescent="0.2">
      <c r="B106" s="36" t="s">
        <v>51</v>
      </c>
      <c r="C106" s="32">
        <f>PMT(C98,C104,C105)</f>
        <v>718019.11868925963</v>
      </c>
    </row>
    <row r="107" spans="2:3" x14ac:dyDescent="0.2">
      <c r="B107" s="44" t="s">
        <v>38</v>
      </c>
      <c r="C107" s="45"/>
    </row>
    <row r="108" spans="2:3" x14ac:dyDescent="0.2">
      <c r="B108" s="14" t="s">
        <v>47</v>
      </c>
      <c r="C108" s="15">
        <f>X73</f>
        <v>21</v>
      </c>
    </row>
    <row r="109" spans="2:3" x14ac:dyDescent="0.2">
      <c r="B109" s="14" t="s">
        <v>48</v>
      </c>
      <c r="C109" s="30">
        <f>C91</f>
        <v>-6621071.2786788736</v>
      </c>
    </row>
    <row r="110" spans="2:3" x14ac:dyDescent="0.2">
      <c r="B110" s="27" t="s">
        <v>52</v>
      </c>
      <c r="C110" s="33">
        <f>PMT(C98,C108,C109)</f>
        <v>618955.41405208781</v>
      </c>
    </row>
  </sheetData>
  <mergeCells count="12">
    <mergeCell ref="B95:C95"/>
    <mergeCell ref="B99:C99"/>
    <mergeCell ref="B103:C103"/>
    <mergeCell ref="B107:C107"/>
    <mergeCell ref="B66:X66"/>
    <mergeCell ref="B15:P15"/>
    <mergeCell ref="B40:P40"/>
    <mergeCell ref="B3:C3"/>
    <mergeCell ref="E3:F3"/>
    <mergeCell ref="H3:I3"/>
    <mergeCell ref="K3:L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RNI 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Julissa Limon</cp:lastModifiedBy>
  <cp:revision/>
  <dcterms:created xsi:type="dcterms:W3CDTF">2023-01-29T19:35:38Z</dcterms:created>
  <dcterms:modified xsi:type="dcterms:W3CDTF">2024-03-29T06:25:16Z</dcterms:modified>
  <cp:category/>
  <cp:contentStatus/>
</cp:coreProperties>
</file>