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otizen &amp; Unterlagen\Messrauschen, Messtechnik\"/>
    </mc:Choice>
  </mc:AlternateContent>
  <xr:revisionPtr revIDLastSave="0" documentId="13_ncr:1_{17FCF10E-CE71-4854-A18E-3C2E92FE275A}" xr6:coauthVersionLast="36" xr6:coauthVersionMax="36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Dokumentation" sheetId="8" r:id="rId1"/>
    <sheet name="Unsicherheiten_Rel_Standard" sheetId="5" r:id="rId2"/>
    <sheet name="Matlab_Tabelle" sheetId="6" r:id="rId3"/>
    <sheet name="Matlab_Auswertung_Ringversuche" sheetId="7" r:id="rId4"/>
    <sheet name="mean_feed_values" sheetId="9" r:id="rId5"/>
  </sheets>
  <definedNames>
    <definedName name="_xlnm._FilterDatabase" localSheetId="1" hidden="1">Unsicherheiten_Rel_Standard!$A$1:$N$53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5" l="1"/>
  <c r="K4" i="5"/>
  <c r="K6" i="5"/>
  <c r="K7" i="5"/>
  <c r="K11" i="5"/>
  <c r="K13" i="5"/>
  <c r="K15" i="5"/>
  <c r="K17" i="5"/>
  <c r="K19" i="5"/>
  <c r="K21" i="5"/>
  <c r="K22" i="5"/>
  <c r="K25" i="5"/>
  <c r="K31" i="5"/>
  <c r="K33" i="5"/>
  <c r="K35" i="5"/>
  <c r="K37" i="5"/>
  <c r="K41" i="5"/>
  <c r="K48" i="5"/>
  <c r="E71" i="5" l="1"/>
  <c r="G69" i="5"/>
  <c r="G52" i="5"/>
  <c r="G50" i="5"/>
  <c r="G48" i="5"/>
  <c r="G46" i="5"/>
  <c r="J44" i="5"/>
  <c r="G44" i="5"/>
  <c r="J42" i="5"/>
  <c r="G42" i="5"/>
  <c r="J41" i="5"/>
  <c r="G39" i="5"/>
  <c r="E39" i="5"/>
  <c r="C39" i="5"/>
  <c r="J37" i="5"/>
  <c r="E37" i="5" s="1"/>
  <c r="G37" i="5"/>
  <c r="J35" i="5"/>
  <c r="G35" i="5"/>
  <c r="E35" i="5"/>
  <c r="J33" i="5"/>
  <c r="G33" i="5"/>
  <c r="C33" i="5"/>
  <c r="D33" i="5" s="1"/>
  <c r="J31" i="5"/>
  <c r="G31" i="5"/>
  <c r="J29" i="5"/>
  <c r="G29" i="5"/>
  <c r="C27" i="5"/>
  <c r="J27" i="5" s="1"/>
  <c r="J26" i="5"/>
  <c r="G26" i="5"/>
  <c r="G25" i="5"/>
  <c r="G24" i="5" s="1"/>
  <c r="J24" i="5"/>
  <c r="E24" i="5"/>
  <c r="J23" i="5"/>
  <c r="J22" i="5"/>
  <c r="G22" i="5"/>
  <c r="J21" i="5"/>
  <c r="E21" i="5" s="1"/>
  <c r="G21" i="5"/>
  <c r="J19" i="5"/>
  <c r="G19" i="5"/>
  <c r="C19" i="5"/>
  <c r="D19" i="5" s="1"/>
  <c r="J17" i="5"/>
  <c r="G17" i="5"/>
  <c r="L17" i="5" s="1"/>
  <c r="M17" i="5" s="1"/>
  <c r="J15" i="5"/>
  <c r="G15" i="5"/>
  <c r="J13" i="5"/>
  <c r="G13" i="5"/>
  <c r="L12" i="5"/>
  <c r="M12" i="5" s="1"/>
  <c r="J11" i="5"/>
  <c r="C10" i="6" s="1"/>
  <c r="D11" i="5"/>
  <c r="C7" i="5"/>
  <c r="J7" i="5" s="1"/>
  <c r="C6" i="5"/>
  <c r="J6" i="5" s="1"/>
  <c r="J5" i="5"/>
  <c r="E5" i="5" s="1"/>
  <c r="D5" i="5"/>
  <c r="J4" i="5"/>
  <c r="C3" i="6" s="1"/>
  <c r="D4" i="5"/>
  <c r="J3" i="5"/>
  <c r="C2" i="6" s="1"/>
  <c r="E3" i="5"/>
  <c r="D3" i="5"/>
  <c r="G45" i="5" l="1"/>
  <c r="G16" i="5"/>
  <c r="L6" i="5"/>
  <c r="M6" i="5" s="1"/>
  <c r="E6" i="5"/>
  <c r="L3" i="5"/>
  <c r="M3" i="5" s="1"/>
  <c r="L4" i="5"/>
  <c r="M4" i="5" s="1"/>
  <c r="J8" i="5"/>
  <c r="E4" i="5"/>
  <c r="E11" i="5"/>
  <c r="C11" i="6"/>
  <c r="D11" i="6" s="1"/>
  <c r="E22" i="5"/>
  <c r="L39" i="5"/>
  <c r="M39" i="5" s="1"/>
  <c r="E41" i="5"/>
  <c r="J16" i="5"/>
  <c r="E16" i="5" s="1"/>
  <c r="C24" i="5"/>
  <c r="D24" i="5" s="1"/>
  <c r="J50" i="5"/>
  <c r="C22" i="6"/>
  <c r="M22" i="6" s="1"/>
  <c r="C14" i="6"/>
  <c r="D14" i="6" s="1"/>
  <c r="G49" i="5"/>
  <c r="C20" i="6"/>
  <c r="M20" i="6" s="1"/>
  <c r="E23" i="5"/>
  <c r="C21" i="6"/>
  <c r="M21" i="6" s="1"/>
  <c r="C13" i="6"/>
  <c r="M13" i="6" s="1"/>
  <c r="C37" i="5"/>
  <c r="D37" i="5" s="1"/>
  <c r="E13" i="5"/>
  <c r="D39" i="5"/>
  <c r="G53" i="5"/>
  <c r="C21" i="5"/>
  <c r="D21" i="5" s="1"/>
  <c r="E31" i="5"/>
  <c r="G14" i="5"/>
  <c r="L31" i="5"/>
  <c r="M31" i="5" s="1"/>
  <c r="J18" i="5"/>
  <c r="L42" i="5"/>
  <c r="M42" i="5" s="1"/>
  <c r="J32" i="5"/>
  <c r="L37" i="5"/>
  <c r="M37" i="5" s="1"/>
  <c r="L24" i="5"/>
  <c r="L25" i="5" s="1"/>
  <c r="J38" i="5"/>
  <c r="L44" i="5"/>
  <c r="M44" i="5" s="1"/>
  <c r="L19" i="5"/>
  <c r="M19" i="5" s="1"/>
  <c r="L26" i="5"/>
  <c r="M26" i="5" s="1"/>
  <c r="J14" i="5"/>
  <c r="L33" i="5"/>
  <c r="M33" i="5" s="1"/>
  <c r="G51" i="5"/>
  <c r="L50" i="5" s="1"/>
  <c r="M50" i="5" s="1"/>
  <c r="G28" i="5"/>
  <c r="G30" i="5"/>
  <c r="C17" i="5"/>
  <c r="D17" i="5" s="1"/>
  <c r="C22" i="5"/>
  <c r="D22" i="5" s="1"/>
  <c r="J30" i="5"/>
  <c r="E17" i="5"/>
  <c r="G23" i="5"/>
  <c r="L23" i="5" s="1"/>
  <c r="M23" i="5" s="1"/>
  <c r="C31" i="5"/>
  <c r="D31" i="5" s="1"/>
  <c r="J36" i="5"/>
  <c r="E42" i="5"/>
  <c r="M10" i="6"/>
  <c r="D10" i="6"/>
  <c r="C6" i="6"/>
  <c r="C24" i="6"/>
  <c r="L7" i="5"/>
  <c r="M7" i="5" s="1"/>
  <c r="E7" i="5"/>
  <c r="D3" i="6"/>
  <c r="M3" i="6"/>
  <c r="E50" i="5"/>
  <c r="J51" i="5"/>
  <c r="C50" i="5"/>
  <c r="D50" i="5" s="1"/>
  <c r="D22" i="6"/>
  <c r="M2" i="6"/>
  <c r="D2" i="6"/>
  <c r="C18" i="6"/>
  <c r="L27" i="5"/>
  <c r="M27" i="5" s="1"/>
  <c r="E27" i="5"/>
  <c r="C26" i="5"/>
  <c r="D26" i="5" s="1"/>
  <c r="L29" i="5"/>
  <c r="M29" i="5" s="1"/>
  <c r="G40" i="5"/>
  <c r="L41" i="5"/>
  <c r="M41" i="5" s="1"/>
  <c r="C44" i="5"/>
  <c r="D44" i="5" s="1"/>
  <c r="G47" i="5"/>
  <c r="C4" i="6"/>
  <c r="C12" i="6"/>
  <c r="A71" i="5"/>
  <c r="A74" i="5" s="1"/>
  <c r="J48" i="5" s="1"/>
  <c r="L5" i="5"/>
  <c r="M5" i="5" s="1"/>
  <c r="L15" i="5"/>
  <c r="M15" i="5" s="1"/>
  <c r="L11" i="5"/>
  <c r="M11" i="5" s="1"/>
  <c r="E19" i="5"/>
  <c r="G20" i="5"/>
  <c r="L22" i="5"/>
  <c r="M22" i="5" s="1"/>
  <c r="E33" i="5"/>
  <c r="G34" i="5"/>
  <c r="J40" i="5"/>
  <c r="C15" i="6"/>
  <c r="C23" i="6"/>
  <c r="L13" i="5"/>
  <c r="M13" i="5" s="1"/>
  <c r="J20" i="5"/>
  <c r="L21" i="5"/>
  <c r="M21" i="5" s="1"/>
  <c r="M28" i="5" s="1"/>
  <c r="L28" i="5" s="1"/>
  <c r="J28" i="5" s="1"/>
  <c r="E26" i="5"/>
  <c r="E32" i="5"/>
  <c r="J34" i="5"/>
  <c r="L35" i="5"/>
  <c r="M35" i="5" s="1"/>
  <c r="C42" i="5"/>
  <c r="D42" i="5" s="1"/>
  <c r="E44" i="5"/>
  <c r="J46" i="5"/>
  <c r="C15" i="5"/>
  <c r="D15" i="5" s="1"/>
  <c r="G18" i="5"/>
  <c r="C23" i="5"/>
  <c r="C29" i="5"/>
  <c r="D29" i="5" s="1"/>
  <c r="G32" i="5"/>
  <c r="J45" i="5"/>
  <c r="C5" i="6"/>
  <c r="C41" i="5"/>
  <c r="D41" i="5" s="1"/>
  <c r="J52" i="5"/>
  <c r="J9" i="5"/>
  <c r="C13" i="5"/>
  <c r="D13" i="5" s="1"/>
  <c r="E15" i="5"/>
  <c r="E29" i="5"/>
  <c r="C35" i="5"/>
  <c r="D35" i="5" s="1"/>
  <c r="J43" i="5"/>
  <c r="C19" i="6"/>
  <c r="C8" i="5"/>
  <c r="D8" i="5" s="1"/>
  <c r="C36" i="5"/>
  <c r="D36" i="5" s="1"/>
  <c r="G43" i="5"/>
  <c r="C16" i="6"/>
  <c r="D21" i="6" l="1"/>
  <c r="D13" i="6"/>
  <c r="E8" i="5"/>
  <c r="J10" i="5"/>
  <c r="D20" i="6"/>
  <c r="L8" i="5"/>
  <c r="M8" i="5" s="1"/>
  <c r="M14" i="6"/>
  <c r="M11" i="6"/>
  <c r="C7" i="6"/>
  <c r="M7" i="6" s="1"/>
  <c r="L38" i="5"/>
  <c r="M38" i="5" s="1"/>
  <c r="C18" i="5"/>
  <c r="D18" i="5" s="1"/>
  <c r="C38" i="5"/>
  <c r="D38" i="5" s="1"/>
  <c r="L32" i="5"/>
  <c r="M32" i="5" s="1"/>
  <c r="E18" i="5"/>
  <c r="C30" i="5"/>
  <c r="D30" i="5" s="1"/>
  <c r="D23" i="5"/>
  <c r="L18" i="5"/>
  <c r="M18" i="5" s="1"/>
  <c r="L16" i="5"/>
  <c r="M16" i="5" s="1"/>
  <c r="E36" i="5"/>
  <c r="C32" i="5"/>
  <c r="D32" i="5" s="1"/>
  <c r="E38" i="5"/>
  <c r="M24" i="5"/>
  <c r="C16" i="5"/>
  <c r="D16" i="5" s="1"/>
  <c r="E14" i="5"/>
  <c r="C14" i="5"/>
  <c r="D14" i="5" s="1"/>
  <c r="L36" i="5"/>
  <c r="M36" i="5" s="1"/>
  <c r="E30" i="5"/>
  <c r="L14" i="5"/>
  <c r="M14" i="5" s="1"/>
  <c r="L30" i="5"/>
  <c r="M30" i="5" s="1"/>
  <c r="E48" i="5"/>
  <c r="C48" i="5"/>
  <c r="D48" i="5" s="1"/>
  <c r="L48" i="5"/>
  <c r="M48" i="5" s="1"/>
  <c r="J49" i="5"/>
  <c r="C40" i="5"/>
  <c r="D40" i="5" s="1"/>
  <c r="L40" i="5"/>
  <c r="M40" i="5" s="1"/>
  <c r="E40" i="5"/>
  <c r="M12" i="6"/>
  <c r="D12" i="6"/>
  <c r="L45" i="5"/>
  <c r="M45" i="5" s="1"/>
  <c r="E45" i="5"/>
  <c r="C45" i="5"/>
  <c r="D45" i="5" s="1"/>
  <c r="D6" i="6"/>
  <c r="M6" i="6"/>
  <c r="M16" i="6"/>
  <c r="D16" i="6"/>
  <c r="M4" i="6"/>
  <c r="D4" i="6"/>
  <c r="D19" i="6"/>
  <c r="M19" i="6"/>
  <c r="L43" i="5"/>
  <c r="M43" i="5" s="1"/>
  <c r="E43" i="5"/>
  <c r="C43" i="5"/>
  <c r="D43" i="5" s="1"/>
  <c r="C34" i="5"/>
  <c r="D34" i="5" s="1"/>
  <c r="L34" i="5"/>
  <c r="M34" i="5" s="1"/>
  <c r="E34" i="5"/>
  <c r="D5" i="6"/>
  <c r="M5" i="6"/>
  <c r="L9" i="5"/>
  <c r="M9" i="5" s="1"/>
  <c r="E9" i="5"/>
  <c r="C8" i="6"/>
  <c r="C9" i="5"/>
  <c r="D9" i="5" s="1"/>
  <c r="M23" i="6"/>
  <c r="D23" i="6"/>
  <c r="C46" i="5"/>
  <c r="D46" i="5" s="1"/>
  <c r="L46" i="5"/>
  <c r="M46" i="5" s="1"/>
  <c r="E46" i="5"/>
  <c r="J47" i="5"/>
  <c r="L52" i="5"/>
  <c r="M52" i="5" s="1"/>
  <c r="J53" i="5"/>
  <c r="E52" i="5"/>
  <c r="C52" i="5"/>
  <c r="D52" i="5" s="1"/>
  <c r="E28" i="5"/>
  <c r="C28" i="5"/>
  <c r="D28" i="5" s="1"/>
  <c r="M15" i="6"/>
  <c r="D15" i="6"/>
  <c r="M18" i="6"/>
  <c r="D18" i="6"/>
  <c r="L51" i="5"/>
  <c r="M51" i="5" s="1"/>
  <c r="E51" i="5"/>
  <c r="C51" i="5"/>
  <c r="D51" i="5" s="1"/>
  <c r="C20" i="5"/>
  <c r="D20" i="5" s="1"/>
  <c r="L20" i="5"/>
  <c r="M20" i="5" s="1"/>
  <c r="E20" i="5"/>
  <c r="J25" i="5"/>
  <c r="M25" i="5"/>
  <c r="M24" i="6"/>
  <c r="D24" i="6"/>
  <c r="L10" i="5" l="1"/>
  <c r="M10" i="5" s="1"/>
  <c r="E10" i="5"/>
  <c r="C10" i="5"/>
  <c r="D10" i="5" s="1"/>
  <c r="C9" i="6"/>
  <c r="D7" i="6"/>
  <c r="C47" i="5"/>
  <c r="D47" i="5" s="1"/>
  <c r="L47" i="5"/>
  <c r="M47" i="5" s="1"/>
  <c r="E47" i="5"/>
  <c r="E49" i="5"/>
  <c r="C49" i="5"/>
  <c r="D49" i="5" s="1"/>
  <c r="L49" i="5"/>
  <c r="M49" i="5" s="1"/>
  <c r="E25" i="5"/>
  <c r="C25" i="5"/>
  <c r="D25" i="5" s="1"/>
  <c r="C17" i="6"/>
  <c r="L53" i="5"/>
  <c r="M53" i="5" s="1"/>
  <c r="C53" i="5"/>
  <c r="D53" i="5" s="1"/>
  <c r="E53" i="5"/>
  <c r="M8" i="6"/>
  <c r="D8" i="6"/>
  <c r="M9" i="6" l="1"/>
  <c r="D9" i="6"/>
  <c r="M17" i="6"/>
  <c r="D1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Delory, Félix</author>
  </authors>
  <commentList>
    <comment ref="I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U = Standardabweichung * k
lt. GUM S. 24, Abs. 6.3.3</t>
        </r>
      </text>
    </comment>
    <comment ref="C3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Herstellerangabe</t>
        </r>
      </text>
    </comment>
    <comment ref="C4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Herstellerangabe</t>
        </r>
      </text>
    </comment>
    <comment ref="A5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Macht vmtl. als Differenz mehr Sinn, keine 5% Unsicherheit realistisch</t>
        </r>
      </text>
    </comment>
    <comment ref="C5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Herstellerangabe</t>
        </r>
      </text>
    </comment>
    <comment ref="J8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Rechenregel 2</t>
        </r>
      </text>
    </comment>
    <comment ref="J9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Rechenregel 7</t>
        </r>
      </text>
    </comment>
    <comment ref="J10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Rechenregel 7</t>
        </r>
      </text>
    </comment>
    <comment ref="G14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mg/l bezogen auf Mittelwert %TS</t>
        </r>
      </text>
    </comment>
    <comment ref="G16" authorId="0" shapeId="0" xr:uid="{00000000-0006-0000-0100-00000A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mg/l bezogen auf Mittelwert %TS</t>
        </r>
      </text>
    </comment>
    <comment ref="G18" authorId="0" shapeId="0" xr:uid="{00000000-0006-0000-0100-00000B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mg/l bezogen auf Mittelwert %TS</t>
        </r>
      </text>
    </comment>
    <comment ref="G20" authorId="0" shapeId="0" xr:uid="{00000000-0006-0000-0100-00000C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mg/l bezogen auf Mittelwert %TS</t>
        </r>
      </text>
    </comment>
    <comment ref="G21" authorId="0" shapeId="0" xr:uid="{00000000-0006-0000-0100-00000D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aus reaktorprotokoll 35/36</t>
        </r>
      </text>
    </comment>
    <comment ref="G22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aus reaktorprotokoll 35/36</t>
        </r>
      </text>
    </comment>
    <comment ref="G23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ts * oTS Werte</t>
        </r>
      </text>
    </comment>
    <comment ref="G24" authorId="0" shapeId="0" xr:uid="{00000000-0006-0000-0100-000010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Reaktorprotokoll / 1000 kgTS</t>
        </r>
      </text>
    </comment>
    <comment ref="G25" authorId="0" shapeId="0" xr:uid="{00000000-0006-0000-0100-000011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Reaktorprotokoll 35/36</t>
        </r>
      </text>
    </comment>
    <comment ref="G26" authorId="0" shapeId="0" xr:uid="{00000000-0006-0000-0100-000012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Mittelwert Reaktorprotokoll 35/36</t>
        </r>
      </text>
    </comment>
    <comment ref="G42" authorId="0" shapeId="0" xr:uid="{00000000-0006-0000-0100-000013000000}">
      <text>
        <r>
          <rPr>
            <b/>
            <sz val="9"/>
            <color indexed="81"/>
            <rFont val="Segoe UI"/>
            <family val="2"/>
          </rPr>
          <t>Delory, Félix:</t>
        </r>
        <r>
          <rPr>
            <sz val="9"/>
            <color indexed="81"/>
            <rFont val="Segoe UI"/>
            <family val="2"/>
          </rPr>
          <t xml:space="preserve">
Aus Matlab: mean_values_for_paper.m</t>
        </r>
      </text>
    </comment>
  </commentList>
</comments>
</file>

<file path=xl/sharedStrings.xml><?xml version="1.0" encoding="utf-8"?>
<sst xmlns="http://schemas.openxmlformats.org/spreadsheetml/2006/main" count="481" uniqueCount="174">
  <si>
    <t>Messgröße</t>
  </si>
  <si>
    <t>kg</t>
  </si>
  <si>
    <t>oTS</t>
  </si>
  <si>
    <t>BlueVCount</t>
  </si>
  <si>
    <t>Biogasvolumen Kumulativ</t>
  </si>
  <si>
    <t>[%]</t>
  </si>
  <si>
    <t>[-]</t>
  </si>
  <si>
    <t>Methankonzentration</t>
  </si>
  <si>
    <t>Messgerät</t>
  </si>
  <si>
    <t>BlueVary</t>
  </si>
  <si>
    <t>CO2-konzentration</t>
  </si>
  <si>
    <t>pH-Logger</t>
  </si>
  <si>
    <t>pH-Handelektrode</t>
  </si>
  <si>
    <t>Biogas Volumenstrom</t>
  </si>
  <si>
    <t>Methan Volumenstrom</t>
  </si>
  <si>
    <t>CO2 Volumenstrom</t>
  </si>
  <si>
    <t>Gegeben</t>
  </si>
  <si>
    <t>BlueVCount+BlueVary</t>
  </si>
  <si>
    <t>Rel. Unsicherheit 99%</t>
  </si>
  <si>
    <t>Rel. Unsicherheit 95%</t>
  </si>
  <si>
    <t>Absolute Unsicherheit 99%</t>
  </si>
  <si>
    <t>k-Faktor 99%</t>
  </si>
  <si>
    <t>Einheit Messung</t>
  </si>
  <si>
    <t>ml</t>
  </si>
  <si>
    <t>Vol %</t>
  </si>
  <si>
    <t>l/d</t>
  </si>
  <si>
    <t>Druck</t>
  </si>
  <si>
    <t>bar</t>
  </si>
  <si>
    <t>?</t>
  </si>
  <si>
    <t>Datenblatt</t>
  </si>
  <si>
    <t>Absolute Varianz</t>
  </si>
  <si>
    <t>FM</t>
  </si>
  <si>
    <t>Waage</t>
  </si>
  <si>
    <t>mg/kgTS</t>
  </si>
  <si>
    <t>%FM</t>
  </si>
  <si>
    <t>%TS</t>
  </si>
  <si>
    <t>VA</t>
  </si>
  <si>
    <t>BU</t>
  </si>
  <si>
    <t>PRO</t>
  </si>
  <si>
    <t>AC</t>
  </si>
  <si>
    <t>TS</t>
  </si>
  <si>
    <t>10g Fehler pro kg Einwaage geschätzt (seeeeehhr schlecht)</t>
  </si>
  <si>
    <t>Ringversuche -&gt; Matlab gefiltert ab 2016</t>
  </si>
  <si>
    <t>XF</t>
  </si>
  <si>
    <t>XA</t>
  </si>
  <si>
    <t>XL</t>
  </si>
  <si>
    <t>XP</t>
  </si>
  <si>
    <t>Rechenregel 2, aus Biogasvolumen Kumulativ</t>
  </si>
  <si>
    <t>Rechenregel 7, Aus Biogas Volumenstrom und Methankonzentration</t>
  </si>
  <si>
    <t>Rechenregel 7, Aus Biogas Volumenstrom und CO2-Konzentration</t>
  </si>
  <si>
    <t>mg/l = mg/kgFM</t>
  </si>
  <si>
    <t>g/l  = g/kgFM</t>
  </si>
  <si>
    <t>pH_liq</t>
  </si>
  <si>
    <t>pH_Feed</t>
  </si>
  <si>
    <t>none</t>
  </si>
  <si>
    <t>GC</t>
  </si>
  <si>
    <t>Muffelofen</t>
  </si>
  <si>
    <t>Nessler-Gerät</t>
  </si>
  <si>
    <t>Weender &amp; v.S. FMA</t>
  </si>
  <si>
    <t>Wie grün ermittelt?</t>
  </si>
  <si>
    <t>Rechenregel 3, Aus %FM</t>
  </si>
  <si>
    <t>Rechenregel 5, Aus TS [%FM] und Säure [mg/kgFM]</t>
  </si>
  <si>
    <t>Rechenregel 5, Aus %TS und Xi [%TS]</t>
  </si>
  <si>
    <t>Measurand</t>
  </si>
  <si>
    <t>rel_std</t>
  </si>
  <si>
    <t>V_BG</t>
  </si>
  <si>
    <t>Vol_C_CH4</t>
  </si>
  <si>
    <t>Vol_C_CO2</t>
  </si>
  <si>
    <t>pH_Logger</t>
  </si>
  <si>
    <t>pH_Hand</t>
  </si>
  <si>
    <t>V_dot_BG</t>
  </si>
  <si>
    <t>V_dot_CH4</t>
  </si>
  <si>
    <t>V_dot_CO2</t>
  </si>
  <si>
    <t>P</t>
  </si>
  <si>
    <t>Unit</t>
  </si>
  <si>
    <t>mg/l</t>
  </si>
  <si>
    <t>g/l</t>
  </si>
  <si>
    <t>rel_std_percent</t>
  </si>
  <si>
    <t>XLig</t>
  </si>
  <si>
    <t>VS</t>
  </si>
  <si>
    <t>NH4_N</t>
  </si>
  <si>
    <t>NH4_N_FM</t>
  </si>
  <si>
    <t>NH4_N_mgl</t>
  </si>
  <si>
    <t>VS_TS</t>
  </si>
  <si>
    <t>VS_FM</t>
  </si>
  <si>
    <t>TS_FM</t>
  </si>
  <si>
    <t>✓</t>
  </si>
  <si>
    <t>✓ (leicht falsche alte Werte)</t>
  </si>
  <si>
    <t>✓ ("ADL" in Matlab)</t>
  </si>
  <si>
    <t>pH</t>
  </si>
  <si>
    <t>-</t>
  </si>
  <si>
    <t>✓ ("Ash" in Matlab)</t>
  </si>
  <si>
    <t>Über Matlab reproduzierbar</t>
  </si>
  <si>
    <t>Unsicherheiten_Rel_Standard</t>
  </si>
  <si>
    <t>Tabellenblätter:</t>
  </si>
  <si>
    <t>Matlab_Tabelle</t>
  </si>
  <si>
    <t>Matlab_Auswertung_Ringversuche</t>
  </si>
  <si>
    <t>S:\Rohdaten\P3230089\Data\Ringversuche\Documentation\main_Interlab_Studies_Uncertainties.m</t>
  </si>
  <si>
    <t xml:space="preserve"> -Vollständige, zusammengefasste Daten zur Unsicherheit der Messungen im Biogasbereich</t>
  </si>
  <si>
    <t xml:space="preserve"> -Formatierte, komprimierte Tabelle, die in Matlab für Unsicherheitswerte eingelesen wird</t>
  </si>
  <si>
    <t xml:space="preserve"> -Mediane der Ringversuchsdaten in:</t>
  </si>
  <si>
    <t xml:space="preserve"> -Gefiltert und zusammengefasst in Matlab, über:</t>
  </si>
  <si>
    <t>Ringversuche:</t>
  </si>
  <si>
    <t>S:\Rohdaten\P3230089\Data\Ringversuche</t>
  </si>
  <si>
    <t>Unterordner in:</t>
  </si>
  <si>
    <t>S:\Rohdaten\P3230089\Data\Ringversuche\Ringversuchsergebnisse</t>
  </si>
  <si>
    <t>Resultat aus Matlab-Sampling</t>
  </si>
  <si>
    <t>XC</t>
  </si>
  <si>
    <t>Kombinierte Relative Standardmessunsicherheit / Variationskoeffizient</t>
  </si>
  <si>
    <t>H2O Berechnet</t>
  </si>
  <si>
    <t>1000 * (1 -TS/100)</t>
  </si>
  <si>
    <t>H2O [g/l] = 1000  *  - (1000 * TS/100)</t>
  </si>
  <si>
    <t>H2O [g/l] = 1000  *  - (10 * TS)</t>
  </si>
  <si>
    <r>
      <t xml:space="preserve"> -&gt; Ꝺ</t>
    </r>
    <r>
      <rPr>
        <vertAlign val="subscript"/>
        <sz val="11"/>
        <color theme="1"/>
        <rFont val="Calibri"/>
        <family val="2"/>
      </rPr>
      <t>H2O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[g/l] = (-10)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* Ꝺ</t>
    </r>
    <r>
      <rPr>
        <vertAlign val="subscript"/>
        <sz val="11"/>
        <color theme="1"/>
        <rFont val="Calibri"/>
        <family val="2"/>
      </rPr>
      <t>TS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    (Regel 3)</t>
    </r>
  </si>
  <si>
    <t>Rechenregel 3, Aus %TS und rho=1000</t>
  </si>
  <si>
    <t>ADL</t>
  </si>
  <si>
    <t>ADF</t>
  </si>
  <si>
    <t>NDF</t>
  </si>
  <si>
    <t>Zellulose</t>
  </si>
  <si>
    <t>Zellulose = ADF - ADL</t>
  </si>
  <si>
    <r>
      <t xml:space="preserve"> -&gt; Ꝺ</t>
    </r>
    <r>
      <rPr>
        <vertAlign val="subscript"/>
        <sz val="11"/>
        <color theme="1"/>
        <rFont val="Calibri"/>
        <family val="2"/>
      </rPr>
      <t>Zell</t>
    </r>
    <r>
      <rPr>
        <sz val="11"/>
        <color theme="1"/>
        <rFont val="Calibri"/>
        <family val="2"/>
      </rPr>
      <t xml:space="preserve"> [%TS] =(Ꝺ</t>
    </r>
    <r>
      <rPr>
        <vertAlign val="subscript"/>
        <sz val="11"/>
        <color theme="1"/>
        <rFont val="Calibri"/>
        <family val="2"/>
      </rPr>
      <t>ADF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Ꝺ</t>
    </r>
    <r>
      <rPr>
        <vertAlign val="subscript"/>
        <sz val="11"/>
        <color theme="1"/>
        <rFont val="Calibri"/>
        <family val="2"/>
      </rPr>
      <t>ADL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)</t>
    </r>
    <r>
      <rPr>
        <vertAlign val="superscript"/>
        <sz val="11"/>
        <color theme="1"/>
        <rFont val="Calibri"/>
        <family val="2"/>
      </rPr>
      <t>(1/2)</t>
    </r>
    <r>
      <rPr>
        <sz val="11"/>
        <color theme="1"/>
        <rFont val="Calibri"/>
        <family val="2"/>
      </rPr>
      <t xml:space="preserve">  (Regel 2)</t>
    </r>
  </si>
  <si>
    <t>Berechnungen:</t>
  </si>
  <si>
    <t>u(y3)</t>
  </si>
  <si>
    <t>ac/b</t>
  </si>
  <si>
    <t>a</t>
  </si>
  <si>
    <t>c</t>
  </si>
  <si>
    <t>b</t>
  </si>
  <si>
    <t>u(y2)</t>
  </si>
  <si>
    <t>c/b</t>
  </si>
  <si>
    <t>TKN</t>
  </si>
  <si>
    <t>Rechenregel 2, aus ADF und ADL (Lignin)</t>
  </si>
  <si>
    <t>Rechenregeln 3 und 7, um von XP auf TKN zu kommen (Messmethodensammlung S. 92), mit y(2) und y(3) in Zeile 60 und 63 als Zwischenschritt</t>
  </si>
  <si>
    <t>g</t>
  </si>
  <si>
    <t>% TS</t>
  </si>
  <si>
    <t>Hemizellulose = NDF -ADF</t>
  </si>
  <si>
    <r>
      <t xml:space="preserve"> -&gt; Ꝺ</t>
    </r>
    <r>
      <rPr>
        <vertAlign val="subscript"/>
        <sz val="11"/>
        <color theme="1"/>
        <rFont val="Calibri"/>
        <family val="2"/>
      </rPr>
      <t>Hem-Zell</t>
    </r>
    <r>
      <rPr>
        <sz val="11"/>
        <color theme="1"/>
        <rFont val="Calibri"/>
        <family val="2"/>
      </rPr>
      <t xml:space="preserve"> [%TS] =(Ꝺ</t>
    </r>
    <r>
      <rPr>
        <vertAlign val="subscript"/>
        <sz val="11"/>
        <color theme="1"/>
        <rFont val="Calibri"/>
        <family val="2"/>
      </rPr>
      <t>NDF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Ꝺ</t>
    </r>
    <r>
      <rPr>
        <vertAlign val="subscript"/>
        <sz val="11"/>
        <color theme="1"/>
        <rFont val="Calibri"/>
        <family val="2"/>
      </rPr>
      <t>ADF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)</t>
    </r>
    <r>
      <rPr>
        <vertAlign val="superscript"/>
        <sz val="11"/>
        <color theme="1"/>
        <rFont val="Calibri"/>
        <family val="2"/>
      </rPr>
      <t>(1/2)</t>
    </r>
    <r>
      <rPr>
        <sz val="11"/>
        <color theme="1"/>
        <rFont val="Calibri"/>
        <family val="2"/>
      </rPr>
      <t xml:space="preserve">  (Regel 2)</t>
    </r>
  </si>
  <si>
    <t>Hemizellulose</t>
  </si>
  <si>
    <t>NfE</t>
  </si>
  <si>
    <t>Hilfsrechnungen</t>
  </si>
  <si>
    <t>NfE = 1000 - XA - XP - XL - XF</t>
  </si>
  <si>
    <r>
      <t xml:space="preserve"> -&gt; Ꝺ</t>
    </r>
    <r>
      <rPr>
        <vertAlign val="subscript"/>
        <sz val="11"/>
        <color theme="1"/>
        <rFont val="Calibri"/>
        <family val="2"/>
      </rPr>
      <t>NfE</t>
    </r>
    <r>
      <rPr>
        <sz val="11"/>
        <color theme="1"/>
        <rFont val="Calibri"/>
        <family val="2"/>
      </rPr>
      <t xml:space="preserve"> [%TS] =(Ꝺ</t>
    </r>
    <r>
      <rPr>
        <vertAlign val="subscript"/>
        <sz val="11"/>
        <color theme="1"/>
        <rFont val="Calibri"/>
        <family val="2"/>
      </rPr>
      <t>XA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Ꝺ</t>
    </r>
    <r>
      <rPr>
        <vertAlign val="subscript"/>
        <sz val="11"/>
        <color theme="1"/>
        <rFont val="Calibri"/>
        <family val="2"/>
      </rPr>
      <t>XL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+ Ꝺ</t>
    </r>
    <r>
      <rPr>
        <vertAlign val="subscript"/>
        <sz val="11"/>
        <color theme="1"/>
        <rFont val="Calibri"/>
        <family val="2"/>
      </rPr>
      <t>XP</t>
    </r>
    <r>
      <rPr>
        <sz val="11"/>
        <color theme="1"/>
        <rFont val="Calibri"/>
        <family val="2"/>
      </rPr>
      <t>2+ Ꝺ</t>
    </r>
    <r>
      <rPr>
        <vertAlign val="subscript"/>
        <sz val="11"/>
        <color theme="1"/>
        <rFont val="Calibri"/>
        <family val="2"/>
      </rPr>
      <t>XF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)</t>
    </r>
    <r>
      <rPr>
        <vertAlign val="superscript"/>
        <sz val="11"/>
        <color theme="1"/>
        <rFont val="Calibri"/>
        <family val="2"/>
      </rPr>
      <t>(1/2)</t>
    </r>
    <r>
      <rPr>
        <sz val="11"/>
        <color theme="1"/>
        <rFont val="Calibri"/>
        <family val="2"/>
      </rPr>
      <t xml:space="preserve">  (Regel 2)</t>
    </r>
  </si>
  <si>
    <t>Row</t>
  </si>
  <si>
    <t>FOS</t>
  </si>
  <si>
    <t>FOS_TAC</t>
  </si>
  <si>
    <t>NH4</t>
  </si>
  <si>
    <t>Essigsäure</t>
  </si>
  <si>
    <t>Propionsäure</t>
  </si>
  <si>
    <t>Rohasche</t>
  </si>
  <si>
    <t>Rohprotein</t>
  </si>
  <si>
    <t>Rohfett</t>
  </si>
  <si>
    <t>Rohfaser</t>
  </si>
  <si>
    <t>NFC</t>
  </si>
  <si>
    <t>Buttersäure</t>
  </si>
  <si>
    <t>Valeriansäure</t>
  </si>
  <si>
    <t>Kohlenhydrate_Weender</t>
  </si>
  <si>
    <t>Kohlenhydrate_Potentiell_Verwertbar_Modell</t>
  </si>
  <si>
    <t>Wassergehalt</t>
  </si>
  <si>
    <t>num</t>
  </si>
  <si>
    <t>max</t>
  </si>
  <si>
    <t>min</t>
  </si>
  <si>
    <t>mean</t>
  </si>
  <si>
    <t>median</t>
  </si>
  <si>
    <t>range</t>
  </si>
  <si>
    <t>std</t>
  </si>
  <si>
    <t>cv</t>
  </si>
  <si>
    <t>Units</t>
  </si>
  <si>
    <t>%</t>
  </si>
  <si>
    <t>gFOS/gCaCO3</t>
  </si>
  <si>
    <t>g/kgTS</t>
  </si>
  <si>
    <t>Mittelwert Messung (Abschätzung SH)</t>
  </si>
  <si>
    <t>Mittelwert Messung (Berechnung FD)</t>
  </si>
  <si>
    <t>Kombinierte Absolute Standardmessunsicherheit (FD)</t>
  </si>
  <si>
    <t>abs. Std.-Abweichung (SH)</t>
  </si>
  <si>
    <t>[Unit nach Spalte "Einheit Messung"]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</si>
</sst>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"/>
    <numFmt numFmtId="166" formatCode="0.000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 applyFont="1"/>
    <xf numFmtId="0" fontId="0" fillId="2" borderId="0" xfId="0" applyFill="1"/>
    <xf numFmtId="11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5" fontId="0" fillId="2" borderId="0" xfId="0" applyNumberFormat="1" applyFill="1"/>
    <xf numFmtId="2" fontId="0" fillId="2" borderId="0" xfId="1" applyNumberFormat="1" applyFont="1" applyFill="1"/>
    <xf numFmtId="2" fontId="0" fillId="0" borderId="0" xfId="1" applyNumberFormat="1" applyFont="1"/>
    <xf numFmtId="2" fontId="1" fillId="2" borderId="0" xfId="1" applyNumberFormat="1" applyFont="1" applyFill="1"/>
    <xf numFmtId="2" fontId="1" fillId="0" borderId="0" xfId="1" applyNumberFormat="1" applyFont="1"/>
    <xf numFmtId="2" fontId="0" fillId="0" borderId="0" xfId="1" applyNumberFormat="1" applyFont="1" applyFill="1"/>
    <xf numFmtId="11" fontId="1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0" fontId="7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166" fontId="0" fillId="0" borderId="0" xfId="0" applyNumberFormat="1"/>
    <xf numFmtId="0" fontId="9" fillId="0" borderId="0" xfId="0" applyFont="1" applyAlignment="1">
      <alignment horizontal="left" vertical="center" indent="3"/>
    </xf>
    <xf numFmtId="0" fontId="0" fillId="3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2" fontId="0" fillId="2" borderId="0" xfId="0" applyNumberFormat="1" applyFont="1" applyFill="1"/>
    <xf numFmtId="2" fontId="0" fillId="2" borderId="0" xfId="0" applyNumberFormat="1" applyFill="1"/>
    <xf numFmtId="2" fontId="1" fillId="0" borderId="0" xfId="0" applyNumberFormat="1" applyFont="1" applyAlignment="1">
      <alignment horizontal="right"/>
    </xf>
    <xf numFmtId="2" fontId="0" fillId="0" borderId="0" xfId="0" applyNumberFormat="1" applyFill="1"/>
    <xf numFmtId="0" fontId="4" fillId="4" borderId="0" xfId="2"/>
    <xf numFmtId="167" fontId="4" fillId="4" borderId="0" xfId="2" applyNumberFormat="1"/>
    <xf numFmtId="2" fontId="4" fillId="4" borderId="0" xfId="2" applyNumberFormat="1"/>
    <xf numFmtId="0" fontId="0" fillId="4" borderId="0" xfId="2" applyFont="1"/>
  </cellXfs>
  <cellStyles count="3">
    <cellStyle name="20 % - Akzent2" xfId="2" builtinId="34"/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E1F7E5"/>
      <color rgb="FF00C000"/>
      <color rgb="FF75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9524</xdr:colOff>
      <xdr:row>2</xdr:row>
      <xdr:rowOff>128587</xdr:rowOff>
    </xdr:from>
    <xdr:ext cx="1990725" cy="1480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5812749" y="700087"/>
              <a:ext cx="1990725" cy="14809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de-DE" sz="2400" b="0" i="0">
                  <a:latin typeface="Arial" panose="020B0604020202020204" pitchFamily="34" charset="0"/>
                  <a:cs typeface="Arial" panose="020B0604020202020204" pitchFamily="34" charset="0"/>
                </a:rPr>
                <a:t>GUM</a:t>
              </a:r>
              <a:r>
                <a:rPr lang="de-DE" sz="24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 S. 24:</a:t>
              </a:r>
              <a:endParaRPr lang="de-DE" sz="2400" b="0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de-DE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24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2400" b="0" i="0">
                            <a:latin typeface="Cambria Math" panose="02040503050406030204" pitchFamily="18" charset="0"/>
                          </a:rPr>
                          <m:t>k</m:t>
                        </m:r>
                      </m:e>
                      <m:sub>
                        <m:r>
                          <a:rPr lang="de-DE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2400" b="0" i="1">
                        <a:latin typeface="Cambria Math" panose="02040503050406030204" pitchFamily="18" charset="0"/>
                      </a:rPr>
                      <m:t>⋅</m:t>
                    </m:r>
                    <m:sSub>
                      <m:sSubPr>
                        <m:ctrlPr>
                          <a:rPr lang="de-DE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de-DE" sz="24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2400"/>
            </a:p>
            <a:p>
              <a:pPr algn="ctr"/>
              <a:endParaRPr lang="en-US" sz="2400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2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de-DE" sz="2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de-DE" sz="2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≈</m:t>
                    </m:r>
                    <m:r>
                      <a:rPr lang="de-DE" sz="2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𝜎</m:t>
                    </m:r>
                  </m:oMath>
                </m:oMathPara>
              </a14:m>
              <a:endParaRPr lang="en-US" sz="48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5812749" y="700087"/>
              <a:ext cx="1990725" cy="14809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de-DE" sz="2400" b="0" i="0">
                  <a:latin typeface="Arial" panose="020B0604020202020204" pitchFamily="34" charset="0"/>
                  <a:cs typeface="Arial" panose="020B0604020202020204" pitchFamily="34" charset="0"/>
                </a:rPr>
                <a:t>GUM</a:t>
              </a:r>
              <a:r>
                <a:rPr lang="de-DE" sz="24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 S. 24:</a:t>
              </a:r>
              <a:endParaRPr lang="de-DE" sz="2400" b="0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de-DE" sz="2400" b="0" i="0">
                  <a:latin typeface="Cambria Math" panose="02040503050406030204" pitchFamily="18" charset="0"/>
                </a:rPr>
                <a:t>𝑈_𝑖=k_𝑖⋅𝑢_𝑐</a:t>
              </a:r>
              <a:endParaRPr lang="en-US" sz="2400"/>
            </a:p>
            <a:p>
              <a:pPr algn="ctr"/>
              <a:endParaRPr lang="en-US" sz="2400"/>
            </a:p>
            <a:p>
              <a:pPr algn="ctr"/>
              <a:r>
                <a:rPr lang="de-DE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𝑢_𝑐≈𝜎</a:t>
              </a:r>
              <a:endParaRPr lang="en-US" sz="4800"/>
            </a:p>
          </xdr:txBody>
        </xdr:sp>
      </mc:Fallback>
    </mc:AlternateContent>
    <xdr:clientData/>
  </xdr:oneCellAnchor>
  <xdr:oneCellAnchor>
    <xdr:from>
      <xdr:col>13</xdr:col>
      <xdr:colOff>142875</xdr:colOff>
      <xdr:row>15</xdr:row>
      <xdr:rowOff>33337</xdr:rowOff>
    </xdr:from>
    <xdr:ext cx="65" cy="172227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82025" y="3081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257175</xdr:colOff>
      <xdr:row>47</xdr:row>
      <xdr:rowOff>19051</xdr:rowOff>
    </xdr:from>
    <xdr:to>
      <xdr:col>25</xdr:col>
      <xdr:colOff>314325</xdr:colOff>
      <xdr:row>49</xdr:row>
      <xdr:rowOff>19051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1756350" y="9353551"/>
          <a:ext cx="2343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https://www.ncbi.nlm.nih.gov/pmc/articles/PMC3387884/</a:t>
          </a:r>
        </a:p>
      </xdr:txBody>
    </xdr:sp>
    <xdr:clientData/>
  </xdr:twoCellAnchor>
  <xdr:twoCellAnchor editAs="oneCell">
    <xdr:from>
      <xdr:col>11</xdr:col>
      <xdr:colOff>9265</xdr:colOff>
      <xdr:row>58</xdr:row>
      <xdr:rowOff>8965</xdr:rowOff>
    </xdr:from>
    <xdr:to>
      <xdr:col>12</xdr:col>
      <xdr:colOff>2891378</xdr:colOff>
      <xdr:row>85</xdr:row>
      <xdr:rowOff>24093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8765" y="11057965"/>
          <a:ext cx="5862878" cy="5382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142875</xdr:colOff>
      <xdr:row>15</xdr:row>
      <xdr:rowOff>33337</xdr:rowOff>
    </xdr:from>
    <xdr:ext cx="65" cy="172227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D47266D-F8BD-4FDF-9FD6-3431AEC46120}"/>
            </a:ext>
          </a:extLst>
        </xdr:cNvPr>
        <xdr:cNvSpPr txBox="1"/>
      </xdr:nvSpPr>
      <xdr:spPr>
        <a:xfrm>
          <a:off x="142875" y="2890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9F17-81B0-4BDE-9721-A6080CCA693C}">
  <dimension ref="B2:F17"/>
  <sheetViews>
    <sheetView workbookViewId="0">
      <selection activeCell="E24" sqref="E24"/>
    </sheetView>
  </sheetViews>
  <sheetFormatPr baseColWidth="10" defaultRowHeight="14.4" x14ac:dyDescent="0.3"/>
  <sheetData>
    <row r="2" spans="2:6" ht="18" x14ac:dyDescent="0.35">
      <c r="B2" s="24" t="s">
        <v>94</v>
      </c>
    </row>
    <row r="3" spans="2:6" ht="18" x14ac:dyDescent="0.35">
      <c r="B3" s="24"/>
    </row>
    <row r="4" spans="2:6" x14ac:dyDescent="0.3">
      <c r="B4" s="23" t="s">
        <v>93</v>
      </c>
    </row>
    <row r="5" spans="2:6" x14ac:dyDescent="0.3">
      <c r="B5" t="s">
        <v>98</v>
      </c>
    </row>
    <row r="7" spans="2:6" x14ac:dyDescent="0.3">
      <c r="B7" s="23" t="s">
        <v>95</v>
      </c>
    </row>
    <row r="8" spans="2:6" x14ac:dyDescent="0.3">
      <c r="B8" t="s">
        <v>99</v>
      </c>
    </row>
    <row r="10" spans="2:6" x14ac:dyDescent="0.3">
      <c r="B10" s="23" t="s">
        <v>96</v>
      </c>
    </row>
    <row r="11" spans="2:6" x14ac:dyDescent="0.3">
      <c r="B11" t="s">
        <v>100</v>
      </c>
      <c r="F11" t="s">
        <v>105</v>
      </c>
    </row>
    <row r="12" spans="2:6" x14ac:dyDescent="0.3">
      <c r="B12" t="s">
        <v>101</v>
      </c>
      <c r="F12" t="s">
        <v>97</v>
      </c>
    </row>
    <row r="16" spans="2:6" ht="18" x14ac:dyDescent="0.35">
      <c r="B16" s="24" t="s">
        <v>102</v>
      </c>
    </row>
    <row r="17" spans="2:6" x14ac:dyDescent="0.3">
      <c r="B17" t="s">
        <v>104</v>
      </c>
      <c r="F17" t="s">
        <v>103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baseColWidth="10" defaultRowHeight="14.4" x14ac:dyDescent="0.3"/>
  <cols>
    <col min="1" max="1" width="24.33203125" bestFit="1" customWidth="1"/>
    <col min="2" max="2" width="20.6640625" bestFit="1" customWidth="1"/>
    <col min="3" max="3" width="20.33203125" bestFit="1" customWidth="1"/>
    <col min="4" max="4" width="25" bestFit="1" customWidth="1"/>
    <col min="5" max="5" width="20.33203125" bestFit="1" customWidth="1"/>
    <col min="6" max="6" width="20.33203125" customWidth="1"/>
    <col min="7" max="7" width="19" bestFit="1" customWidth="1"/>
    <col min="8" max="8" width="16.44140625" customWidth="1"/>
    <col min="10" max="10" width="68" bestFit="1" customWidth="1"/>
    <col min="11" max="11" width="21.77734375" bestFit="1" customWidth="1"/>
    <col min="12" max="12" width="44.6640625" bestFit="1" customWidth="1"/>
    <col min="13" max="13" width="44.6640625" customWidth="1"/>
    <col min="14" max="14" width="66.109375" customWidth="1"/>
  </cols>
  <sheetData>
    <row r="1" spans="1:17" x14ac:dyDescent="0.3">
      <c r="A1" t="s">
        <v>0</v>
      </c>
      <c r="B1" t="s">
        <v>8</v>
      </c>
      <c r="C1" t="s">
        <v>18</v>
      </c>
      <c r="D1" t="s">
        <v>20</v>
      </c>
      <c r="E1" t="s">
        <v>19</v>
      </c>
      <c r="F1" s="30" t="s">
        <v>169</v>
      </c>
      <c r="G1" t="s">
        <v>170</v>
      </c>
      <c r="H1" t="s">
        <v>22</v>
      </c>
      <c r="I1" t="s">
        <v>21</v>
      </c>
      <c r="J1" t="s">
        <v>108</v>
      </c>
      <c r="K1" s="33" t="s">
        <v>172</v>
      </c>
      <c r="L1" t="s">
        <v>171</v>
      </c>
      <c r="M1" t="s">
        <v>30</v>
      </c>
      <c r="N1" s="22" t="s">
        <v>59</v>
      </c>
      <c r="O1" t="s">
        <v>92</v>
      </c>
    </row>
    <row r="2" spans="1:17" x14ac:dyDescent="0.3">
      <c r="A2" t="s">
        <v>6</v>
      </c>
      <c r="B2" t="s">
        <v>6</v>
      </c>
      <c r="C2" t="s">
        <v>5</v>
      </c>
      <c r="D2" t="s">
        <v>6</v>
      </c>
      <c r="E2" t="s">
        <v>5</v>
      </c>
      <c r="F2" s="30" t="s">
        <v>6</v>
      </c>
      <c r="G2" t="s">
        <v>6</v>
      </c>
      <c r="H2" t="s">
        <v>6</v>
      </c>
      <c r="I2" t="s">
        <v>6</v>
      </c>
      <c r="J2" t="s">
        <v>5</v>
      </c>
      <c r="K2" s="33" t="s">
        <v>173</v>
      </c>
    </row>
    <row r="3" spans="1:17" x14ac:dyDescent="0.3">
      <c r="A3" t="s">
        <v>4</v>
      </c>
      <c r="B3" t="s">
        <v>3</v>
      </c>
      <c r="C3" s="10">
        <v>2</v>
      </c>
      <c r="D3" s="11">
        <f>C3/100*G3</f>
        <v>0.02</v>
      </c>
      <c r="E3" s="11">
        <f t="shared" ref="E3:E24" si="0">J3*2</f>
        <v>1.3333333333333333</v>
      </c>
      <c r="F3" s="31"/>
      <c r="G3" s="16">
        <v>1</v>
      </c>
      <c r="H3" s="18" t="s">
        <v>23</v>
      </c>
      <c r="I3" s="1">
        <v>3</v>
      </c>
      <c r="J3" s="1">
        <f>C3/I3</f>
        <v>0.66666666666666663</v>
      </c>
      <c r="K3" s="32"/>
      <c r="L3" s="7">
        <f>J3/100*G3</f>
        <v>6.6666666666666662E-3</v>
      </c>
      <c r="M3" s="6">
        <f>L3^2</f>
        <v>4.444444444444444E-5</v>
      </c>
      <c r="N3" t="s">
        <v>29</v>
      </c>
    </row>
    <row r="4" spans="1:17" x14ac:dyDescent="0.3">
      <c r="A4" t="s">
        <v>7</v>
      </c>
      <c r="B4" t="s">
        <v>9</v>
      </c>
      <c r="C4" s="10">
        <v>3</v>
      </c>
      <c r="D4" s="11">
        <f>C4/100*G4</f>
        <v>1.5</v>
      </c>
      <c r="E4" s="11">
        <f t="shared" si="0"/>
        <v>2</v>
      </c>
      <c r="F4" s="31">
        <v>55</v>
      </c>
      <c r="G4" s="16">
        <v>50</v>
      </c>
      <c r="H4" s="18" t="s">
        <v>24</v>
      </c>
      <c r="I4" s="1">
        <v>3</v>
      </c>
      <c r="J4" s="1">
        <f>C4/I4</f>
        <v>1</v>
      </c>
      <c r="K4" s="32">
        <f t="shared" ref="K4:K48" si="1">J4/100*F4</f>
        <v>0.55000000000000004</v>
      </c>
      <c r="L4" s="7">
        <f t="shared" ref="L4:L10" si="2">J4/100*G4</f>
        <v>0.5</v>
      </c>
      <c r="M4" s="6">
        <f t="shared" ref="M4:M10" si="3">L4^2</f>
        <v>0.25</v>
      </c>
      <c r="N4" t="s">
        <v>29</v>
      </c>
    </row>
    <row r="5" spans="1:17" x14ac:dyDescent="0.3">
      <c r="A5" s="2" t="s">
        <v>10</v>
      </c>
      <c r="B5" s="2" t="s">
        <v>9</v>
      </c>
      <c r="C5" s="12">
        <v>5</v>
      </c>
      <c r="D5" s="13">
        <f>C5/100*G5</f>
        <v>2.5</v>
      </c>
      <c r="E5" s="13">
        <f t="shared" si="0"/>
        <v>3.3333333333333335</v>
      </c>
      <c r="F5" s="31">
        <v>45</v>
      </c>
      <c r="G5" s="17">
        <v>50</v>
      </c>
      <c r="H5" s="19" t="s">
        <v>24</v>
      </c>
      <c r="I5" s="3">
        <v>3</v>
      </c>
      <c r="J5" s="3">
        <f>C5/I5</f>
        <v>1.6666666666666667</v>
      </c>
      <c r="K5" s="32">
        <f t="shared" si="1"/>
        <v>0.75</v>
      </c>
      <c r="L5" s="8">
        <f t="shared" si="2"/>
        <v>0.83333333333333337</v>
      </c>
      <c r="M5" s="6">
        <f t="shared" si="3"/>
        <v>0.69444444444444453</v>
      </c>
      <c r="N5" s="2" t="s">
        <v>29</v>
      </c>
    </row>
    <row r="6" spans="1:17" x14ac:dyDescent="0.3">
      <c r="A6" t="s">
        <v>52</v>
      </c>
      <c r="B6" t="s">
        <v>11</v>
      </c>
      <c r="C6" s="11">
        <f>D6/G6*100</f>
        <v>0.26666666666666666</v>
      </c>
      <c r="D6" s="10">
        <v>0.02</v>
      </c>
      <c r="E6" s="11">
        <f t="shared" si="0"/>
        <v>0.17777777777777778</v>
      </c>
      <c r="F6" s="31">
        <v>7.5</v>
      </c>
      <c r="G6" s="16">
        <v>7.5</v>
      </c>
      <c r="H6" s="18" t="s">
        <v>54</v>
      </c>
      <c r="I6" s="1">
        <v>3</v>
      </c>
      <c r="J6" s="1">
        <f>C6/I6</f>
        <v>8.8888888888888892E-2</v>
      </c>
      <c r="K6" s="32">
        <f t="shared" si="1"/>
        <v>6.6666666666666671E-3</v>
      </c>
      <c r="L6" s="7">
        <f t="shared" si="2"/>
        <v>6.6666666666666671E-3</v>
      </c>
      <c r="M6" s="6">
        <f t="shared" si="3"/>
        <v>4.4444444444444453E-5</v>
      </c>
      <c r="N6" t="s">
        <v>29</v>
      </c>
    </row>
    <row r="7" spans="1:17" x14ac:dyDescent="0.3">
      <c r="A7" t="s">
        <v>52</v>
      </c>
      <c r="B7" t="s">
        <v>12</v>
      </c>
      <c r="C7" s="11">
        <f>D7/G7*100</f>
        <v>1.3333333333333335</v>
      </c>
      <c r="D7" s="10">
        <v>0.1</v>
      </c>
      <c r="E7" s="11">
        <f t="shared" si="0"/>
        <v>0.88888888888888895</v>
      </c>
      <c r="F7" s="31">
        <v>7.5</v>
      </c>
      <c r="G7" s="16">
        <v>7.5</v>
      </c>
      <c r="H7" s="18" t="s">
        <v>54</v>
      </c>
      <c r="I7" s="1">
        <v>3</v>
      </c>
      <c r="J7" s="1">
        <f>C7/I7</f>
        <v>0.44444444444444448</v>
      </c>
      <c r="K7" s="32">
        <f t="shared" si="1"/>
        <v>3.3333333333333333E-2</v>
      </c>
      <c r="L7" s="7">
        <f t="shared" si="2"/>
        <v>3.3333333333333333E-2</v>
      </c>
      <c r="M7" s="6">
        <f t="shared" si="3"/>
        <v>1.1111111111111111E-3</v>
      </c>
      <c r="N7" t="s">
        <v>29</v>
      </c>
    </row>
    <row r="8" spans="1:17" x14ac:dyDescent="0.3">
      <c r="A8" t="s">
        <v>13</v>
      </c>
      <c r="B8" t="s">
        <v>3</v>
      </c>
      <c r="C8" s="11">
        <f>J8*3</f>
        <v>2.8284271247461898</v>
      </c>
      <c r="D8" s="11">
        <f>C8/100*G8</f>
        <v>0.56568542494923801</v>
      </c>
      <c r="E8" s="11">
        <f t="shared" si="0"/>
        <v>1.8856180831641267</v>
      </c>
      <c r="F8" s="31"/>
      <c r="G8" s="16">
        <v>20</v>
      </c>
      <c r="H8" s="18" t="s">
        <v>25</v>
      </c>
      <c r="I8" s="4">
        <v>3</v>
      </c>
      <c r="J8" s="26">
        <f>SQRT(J3^2+J3^2)</f>
        <v>0.94280904158206336</v>
      </c>
      <c r="K8" s="32"/>
      <c r="L8" s="7">
        <f t="shared" si="2"/>
        <v>0.18856180831641267</v>
      </c>
      <c r="M8" s="6">
        <f t="shared" si="3"/>
        <v>3.5555555555555556E-2</v>
      </c>
      <c r="N8" t="s">
        <v>47</v>
      </c>
    </row>
    <row r="9" spans="1:17" x14ac:dyDescent="0.3">
      <c r="A9" t="s">
        <v>14</v>
      </c>
      <c r="B9" t="s">
        <v>17</v>
      </c>
      <c r="C9" s="11">
        <f>J9*3</f>
        <v>4.1231056256176606</v>
      </c>
      <c r="D9" s="11">
        <f>C9/100*G9</f>
        <v>0.41231056256176601</v>
      </c>
      <c r="E9" s="11">
        <f t="shared" si="0"/>
        <v>2.7487370837451071</v>
      </c>
      <c r="F9" s="31"/>
      <c r="G9" s="16">
        <v>10</v>
      </c>
      <c r="H9" s="18" t="s">
        <v>25</v>
      </c>
      <c r="I9" s="4">
        <v>3</v>
      </c>
      <c r="J9" s="27">
        <f>SQRT((J8/100)^2+(J4/100)^2)*100</f>
        <v>1.3743685418725535</v>
      </c>
      <c r="K9" s="32"/>
      <c r="L9" s="7">
        <f t="shared" si="2"/>
        <v>0.13743685418725535</v>
      </c>
      <c r="M9" s="6">
        <f t="shared" si="3"/>
        <v>1.8888888888888889E-2</v>
      </c>
      <c r="N9" t="s">
        <v>48</v>
      </c>
    </row>
    <row r="10" spans="1:17" x14ac:dyDescent="0.3">
      <c r="A10" t="s">
        <v>15</v>
      </c>
      <c r="B10" t="s">
        <v>17</v>
      </c>
      <c r="C10" s="11">
        <f>J10*3</f>
        <v>5.7445626465380286</v>
      </c>
      <c r="D10" s="11">
        <f>C10/100*G10</f>
        <v>0.57445626465380295</v>
      </c>
      <c r="E10" s="11">
        <f t="shared" si="0"/>
        <v>3.8297084310253524</v>
      </c>
      <c r="F10" s="31"/>
      <c r="G10" s="16">
        <v>10</v>
      </c>
      <c r="H10" s="18" t="s">
        <v>25</v>
      </c>
      <c r="I10" s="4">
        <v>3</v>
      </c>
      <c r="J10" s="27">
        <f>SQRT((J8/100)^2+(J5/100)^2)*100</f>
        <v>1.9148542155126762</v>
      </c>
      <c r="K10" s="32"/>
      <c r="L10" s="7">
        <f t="shared" si="2"/>
        <v>0.19148542155126763</v>
      </c>
      <c r="M10" s="6">
        <f t="shared" si="3"/>
        <v>3.6666666666666674E-2</v>
      </c>
      <c r="N10" t="s">
        <v>49</v>
      </c>
    </row>
    <row r="11" spans="1:17" x14ac:dyDescent="0.3">
      <c r="A11" t="s">
        <v>26</v>
      </c>
      <c r="B11" t="s">
        <v>9</v>
      </c>
      <c r="C11" s="10">
        <v>3</v>
      </c>
      <c r="D11" s="11">
        <f>C11/100*G11</f>
        <v>0.03</v>
      </c>
      <c r="E11" s="11">
        <f t="shared" si="0"/>
        <v>2</v>
      </c>
      <c r="F11" s="31">
        <v>1.02</v>
      </c>
      <c r="G11" s="16">
        <v>1</v>
      </c>
      <c r="H11" s="18" t="s">
        <v>27</v>
      </c>
      <c r="I11" s="4">
        <v>3</v>
      </c>
      <c r="J11" s="1">
        <f>C11/3</f>
        <v>1</v>
      </c>
      <c r="K11" s="32">
        <f t="shared" si="1"/>
        <v>1.0200000000000001E-2</v>
      </c>
      <c r="L11" s="7">
        <f t="shared" ref="L11:L36" si="4">J11/100*G11</f>
        <v>0.01</v>
      </c>
      <c r="M11" s="6">
        <f t="shared" ref="M11:M37" si="5">L11^2</f>
        <v>1E-4</v>
      </c>
      <c r="N11" t="s">
        <v>29</v>
      </c>
    </row>
    <row r="12" spans="1:17" x14ac:dyDescent="0.3">
      <c r="A12" s="2" t="s">
        <v>26</v>
      </c>
      <c r="B12" s="2" t="s">
        <v>3</v>
      </c>
      <c r="C12" s="13" t="s">
        <v>28</v>
      </c>
      <c r="D12" s="13" t="s">
        <v>28</v>
      </c>
      <c r="E12" s="13" t="s">
        <v>28</v>
      </c>
      <c r="F12" s="31"/>
      <c r="G12" s="17" t="s">
        <v>28</v>
      </c>
      <c r="H12" s="18" t="s">
        <v>27</v>
      </c>
      <c r="I12" s="4">
        <v>3</v>
      </c>
      <c r="J12" s="28" t="s">
        <v>28</v>
      </c>
      <c r="K12" s="32"/>
      <c r="L12" s="8" t="e">
        <f t="shared" si="4"/>
        <v>#VALUE!</v>
      </c>
      <c r="M12" s="15" t="e">
        <f t="shared" si="5"/>
        <v>#VALUE!</v>
      </c>
      <c r="N12" s="2" t="s">
        <v>28</v>
      </c>
      <c r="Q12" s="5" t="s">
        <v>16</v>
      </c>
    </row>
    <row r="13" spans="1:17" x14ac:dyDescent="0.3">
      <c r="A13" t="s">
        <v>36</v>
      </c>
      <c r="B13" t="s">
        <v>55</v>
      </c>
      <c r="C13" s="11">
        <f t="shared" ref="C13:C29" si="6">J13*3</f>
        <v>232.5</v>
      </c>
      <c r="D13" s="11">
        <f t="shared" ref="D13:D26" si="7">C13/100*G13</f>
        <v>236.40996375083074</v>
      </c>
      <c r="E13" s="11">
        <f t="shared" si="0"/>
        <v>155</v>
      </c>
      <c r="F13" s="31">
        <v>40</v>
      </c>
      <c r="G13" s="16">
        <f>mean_feed_values!E23</f>
        <v>101.68170483906698</v>
      </c>
      <c r="H13" s="18" t="s">
        <v>50</v>
      </c>
      <c r="I13" s="4">
        <v>3</v>
      </c>
      <c r="J13" s="27">
        <f>Matlab_Auswertung_Ringversuche!F2</f>
        <v>77.5</v>
      </c>
      <c r="K13" s="32">
        <f t="shared" si="1"/>
        <v>31</v>
      </c>
      <c r="L13" s="7">
        <f t="shared" si="4"/>
        <v>78.803321250276909</v>
      </c>
      <c r="M13" s="6">
        <f t="shared" si="5"/>
        <v>6209.9634400743444</v>
      </c>
      <c r="N13" t="s">
        <v>42</v>
      </c>
      <c r="O13" t="s">
        <v>86</v>
      </c>
    </row>
    <row r="14" spans="1:17" x14ac:dyDescent="0.3">
      <c r="A14" t="s">
        <v>36</v>
      </c>
      <c r="B14" t="s">
        <v>55</v>
      </c>
      <c r="C14" s="11">
        <f t="shared" si="6"/>
        <v>232.5727169793505</v>
      </c>
      <c r="D14" s="11">
        <f t="shared" si="7"/>
        <v>1253.6758342957353</v>
      </c>
      <c r="E14" s="11">
        <f t="shared" si="0"/>
        <v>155.04847798623368</v>
      </c>
      <c r="F14" s="31"/>
      <c r="G14" s="16">
        <f>G13/(1*G$21/100)</f>
        <v>539.04681966932765</v>
      </c>
      <c r="H14" s="18" t="s">
        <v>33</v>
      </c>
      <c r="I14" s="4">
        <v>3</v>
      </c>
      <c r="J14" s="27">
        <f>SQRT((J13/100)^2+(J$21/100)^2)*100</f>
        <v>77.524238993116839</v>
      </c>
      <c r="K14" s="32"/>
      <c r="L14" s="7">
        <f t="shared" si="4"/>
        <v>417.89194476524511</v>
      </c>
      <c r="M14" s="6">
        <f t="shared" si="5"/>
        <v>174633.67749967868</v>
      </c>
      <c r="N14" t="s">
        <v>61</v>
      </c>
    </row>
    <row r="15" spans="1:17" x14ac:dyDescent="0.3">
      <c r="A15" t="s">
        <v>37</v>
      </c>
      <c r="B15" t="s">
        <v>55</v>
      </c>
      <c r="C15" s="11">
        <f t="shared" si="6"/>
        <v>271.71052631578948</v>
      </c>
      <c r="D15" s="11">
        <f t="shared" si="7"/>
        <v>979.23256649099164</v>
      </c>
      <c r="E15" s="11">
        <f t="shared" si="0"/>
        <v>181.14035087719299</v>
      </c>
      <c r="F15" s="31">
        <v>115</v>
      </c>
      <c r="G15" s="16">
        <f>mean_feed_values!E22</f>
        <v>360.39552083929959</v>
      </c>
      <c r="H15" s="18" t="s">
        <v>50</v>
      </c>
      <c r="I15" s="4">
        <v>3</v>
      </c>
      <c r="J15" s="27">
        <f>Matlab_Auswertung_Ringversuche!G2</f>
        <v>90.570175438596493</v>
      </c>
      <c r="K15" s="32">
        <f t="shared" si="1"/>
        <v>104.15570175438596</v>
      </c>
      <c r="L15" s="7">
        <f t="shared" si="4"/>
        <v>326.41085549699721</v>
      </c>
      <c r="M15" s="6">
        <f t="shared" si="5"/>
        <v>106544.04658628159</v>
      </c>
      <c r="N15" t="s">
        <v>42</v>
      </c>
      <c r="O15" t="s">
        <v>86</v>
      </c>
    </row>
    <row r="16" spans="1:17" x14ac:dyDescent="0.3">
      <c r="A16" t="s">
        <v>37</v>
      </c>
      <c r="B16" t="s">
        <v>55</v>
      </c>
      <c r="C16" s="11">
        <f t="shared" si="6"/>
        <v>271.77275211831005</v>
      </c>
      <c r="D16" s="11">
        <f t="shared" si="7"/>
        <v>5192.4098599911249</v>
      </c>
      <c r="E16" s="11">
        <f t="shared" si="0"/>
        <v>181.18183474554004</v>
      </c>
      <c r="F16" s="31"/>
      <c r="G16" s="16">
        <f>G15/(1*G$21/100)</f>
        <v>1910.5704378085438</v>
      </c>
      <c r="H16" s="18" t="s">
        <v>33</v>
      </c>
      <c r="I16" s="4">
        <v>3</v>
      </c>
      <c r="J16" s="27">
        <f>SQRT((J15/100)^2+(J$21/100)^2)*100</f>
        <v>90.590917372770022</v>
      </c>
      <c r="K16" s="32"/>
      <c r="L16" s="7">
        <f t="shared" si="4"/>
        <v>1730.8032866637084</v>
      </c>
      <c r="M16" s="6">
        <f t="shared" si="5"/>
        <v>2995680.0171258952</v>
      </c>
      <c r="N16" t="s">
        <v>61</v>
      </c>
    </row>
    <row r="17" spans="1:15" x14ac:dyDescent="0.3">
      <c r="A17" t="s">
        <v>38</v>
      </c>
      <c r="B17" t="s">
        <v>55</v>
      </c>
      <c r="C17" s="11">
        <f t="shared" si="6"/>
        <v>196.42857142857144</v>
      </c>
      <c r="D17" s="11">
        <f t="shared" si="7"/>
        <v>1981.4856263557801</v>
      </c>
      <c r="E17" s="11">
        <f t="shared" si="0"/>
        <v>130.95238095238096</v>
      </c>
      <c r="F17" s="31">
        <v>300</v>
      </c>
      <c r="G17" s="16">
        <f>mean_feed_values!E9</f>
        <v>1008.7563188720335</v>
      </c>
      <c r="H17" s="18" t="s">
        <v>50</v>
      </c>
      <c r="I17" s="4">
        <v>3</v>
      </c>
      <c r="J17" s="27">
        <f>Matlab_Auswertung_Ringversuche!H2</f>
        <v>65.476190476190482</v>
      </c>
      <c r="K17" s="32">
        <f t="shared" si="1"/>
        <v>196.42857142857142</v>
      </c>
      <c r="L17" s="7">
        <f t="shared" si="4"/>
        <v>660.49520878526005</v>
      </c>
      <c r="M17" s="6">
        <f t="shared" si="5"/>
        <v>436253.92082828429</v>
      </c>
      <c r="N17" t="s">
        <v>42</v>
      </c>
      <c r="O17" t="s">
        <v>86</v>
      </c>
    </row>
    <row r="18" spans="1:15" x14ac:dyDescent="0.3">
      <c r="A18" t="s">
        <v>38</v>
      </c>
      <c r="B18" t="s">
        <v>55</v>
      </c>
      <c r="C18" s="11">
        <f t="shared" si="6"/>
        <v>196.51463649465518</v>
      </c>
      <c r="D18" s="11">
        <f t="shared" si="7"/>
        <v>10509.083419954282</v>
      </c>
      <c r="E18" s="11">
        <f t="shared" si="0"/>
        <v>131.00975766310344</v>
      </c>
      <c r="F18" s="31"/>
      <c r="G18" s="16">
        <f>G17/(1*G$21/100)</f>
        <v>5347.7357246314368</v>
      </c>
      <c r="H18" s="18" t="s">
        <v>33</v>
      </c>
      <c r="I18" s="4">
        <v>3</v>
      </c>
      <c r="J18" s="27">
        <f>SQRT((J17/100)^2+(J$21/100)^2)*100</f>
        <v>65.504878831551721</v>
      </c>
      <c r="K18" s="32"/>
      <c r="L18" s="7">
        <f t="shared" si="4"/>
        <v>3503.027806651427</v>
      </c>
      <c r="M18" s="6">
        <f t="shared" si="5"/>
        <v>12271203.814173108</v>
      </c>
      <c r="N18" t="s">
        <v>61</v>
      </c>
    </row>
    <row r="19" spans="1:15" x14ac:dyDescent="0.3">
      <c r="A19" t="s">
        <v>39</v>
      </c>
      <c r="B19" t="s">
        <v>55</v>
      </c>
      <c r="C19" s="11">
        <f t="shared" si="6"/>
        <v>127.40963855421687</v>
      </c>
      <c r="D19" s="11">
        <f t="shared" si="7"/>
        <v>7.4107258146868462</v>
      </c>
      <c r="E19" s="11">
        <f t="shared" si="0"/>
        <v>84.939759036144579</v>
      </c>
      <c r="F19" s="31">
        <v>7500</v>
      </c>
      <c r="G19" s="16">
        <f>mean_feed_values!E8/1000</f>
        <v>5.8164561949788007</v>
      </c>
      <c r="H19" s="18" t="s">
        <v>50</v>
      </c>
      <c r="I19" s="4">
        <v>3</v>
      </c>
      <c r="J19" s="27">
        <f>Matlab_Auswertung_Ringversuche!I2</f>
        <v>42.46987951807229</v>
      </c>
      <c r="K19" s="32">
        <f t="shared" si="1"/>
        <v>3185.2409638554218</v>
      </c>
      <c r="L19" s="7">
        <f t="shared" si="4"/>
        <v>2.4702419382289484</v>
      </c>
      <c r="M19" s="6">
        <f t="shared" si="5"/>
        <v>6.1020952333851115</v>
      </c>
      <c r="N19" t="s">
        <v>42</v>
      </c>
      <c r="O19" t="s">
        <v>87</v>
      </c>
    </row>
    <row r="20" spans="1:15" x14ac:dyDescent="0.3">
      <c r="A20" t="s">
        <v>39</v>
      </c>
      <c r="B20" t="s">
        <v>55</v>
      </c>
      <c r="C20" s="11">
        <f t="shared" si="6"/>
        <v>127.54228584933415</v>
      </c>
      <c r="D20" s="11">
        <f t="shared" si="7"/>
        <v>39.327498833900357</v>
      </c>
      <c r="E20" s="11">
        <f t="shared" si="0"/>
        <v>85.028190566222762</v>
      </c>
      <c r="F20" s="31"/>
      <c r="G20" s="16">
        <f>G19/(1*G$21/100)</f>
        <v>30.834870625070948</v>
      </c>
      <c r="H20" s="18" t="s">
        <v>33</v>
      </c>
      <c r="I20" s="4">
        <v>3</v>
      </c>
      <c r="J20" s="27">
        <f>SQRT((J19/100)^2+(J$21/100)^2)*100</f>
        <v>42.514095283111381</v>
      </c>
      <c r="K20" s="32"/>
      <c r="L20" s="7">
        <f t="shared" si="4"/>
        <v>13.109166277966784</v>
      </c>
      <c r="M20" s="6">
        <f t="shared" si="5"/>
        <v>171.85024050338151</v>
      </c>
      <c r="N20" t="s">
        <v>61</v>
      </c>
    </row>
    <row r="21" spans="1:15" x14ac:dyDescent="0.3">
      <c r="A21" t="s">
        <v>40</v>
      </c>
      <c r="B21" t="s">
        <v>56</v>
      </c>
      <c r="C21" s="11">
        <f t="shared" si="6"/>
        <v>5.8153833198744227</v>
      </c>
      <c r="D21" s="11">
        <f t="shared" si="7"/>
        <v>1.0969698153868011</v>
      </c>
      <c r="E21" s="11">
        <f t="shared" si="0"/>
        <v>3.8769222132496148</v>
      </c>
      <c r="F21" s="31">
        <v>30</v>
      </c>
      <c r="G21" s="16">
        <f>mean_feed_values!E3</f>
        <v>18.863241768394538</v>
      </c>
      <c r="H21" s="18" t="s">
        <v>34</v>
      </c>
      <c r="I21" s="4">
        <v>3</v>
      </c>
      <c r="J21" s="27">
        <f>Matlab_Auswertung_Ringversuche!E2</f>
        <v>1.9384611066248074</v>
      </c>
      <c r="K21" s="32">
        <f t="shared" si="1"/>
        <v>0.5815383319874422</v>
      </c>
      <c r="L21" s="7">
        <f t="shared" si="4"/>
        <v>0.36565660512893361</v>
      </c>
      <c r="M21" s="6">
        <f t="shared" si="5"/>
        <v>0.13370475287441688</v>
      </c>
      <c r="N21" t="s">
        <v>42</v>
      </c>
      <c r="O21" t="s">
        <v>86</v>
      </c>
    </row>
    <row r="22" spans="1:15" x14ac:dyDescent="0.3">
      <c r="A22" t="s">
        <v>2</v>
      </c>
      <c r="B22" t="s">
        <v>56</v>
      </c>
      <c r="C22" s="11">
        <f t="shared" si="6"/>
        <v>3.8229831771196068</v>
      </c>
      <c r="D22" s="11">
        <f t="shared" si="7"/>
        <v>3.2484829732084841</v>
      </c>
      <c r="E22" s="11">
        <f t="shared" si="0"/>
        <v>2.548655451413071</v>
      </c>
      <c r="F22" s="31">
        <v>89</v>
      </c>
      <c r="G22" s="16">
        <f>mean_feed_values!E4</f>
        <v>84.972463197079122</v>
      </c>
      <c r="H22" s="18" t="s">
        <v>35</v>
      </c>
      <c r="I22" s="4">
        <v>3</v>
      </c>
      <c r="J22" s="27">
        <f>Matlab_Auswertung_Ringversuche!C2</f>
        <v>1.2743277257065355</v>
      </c>
      <c r="K22" s="32">
        <f t="shared" si="1"/>
        <v>1.1341516758788166</v>
      </c>
      <c r="L22" s="7">
        <f t="shared" si="4"/>
        <v>1.0828276577361613</v>
      </c>
      <c r="M22" s="6">
        <f t="shared" si="5"/>
        <v>1.1725157363583814</v>
      </c>
      <c r="N22" t="s">
        <v>42</v>
      </c>
      <c r="O22" t="s">
        <v>86</v>
      </c>
    </row>
    <row r="23" spans="1:15" x14ac:dyDescent="0.3">
      <c r="A23" t="s">
        <v>2</v>
      </c>
      <c r="B23" t="s">
        <v>56</v>
      </c>
      <c r="C23" s="11">
        <f t="shared" si="6"/>
        <v>7.1112896745680994</v>
      </c>
      <c r="D23" s="11">
        <f t="shared" si="7"/>
        <v>4.9028005861369071</v>
      </c>
      <c r="E23" s="11">
        <f t="shared" si="0"/>
        <v>4.7408597830453996</v>
      </c>
      <c r="F23" s="31"/>
      <c r="G23" s="16">
        <f>G22*(1-G21/100)</f>
        <v>68.943902027654019</v>
      </c>
      <c r="H23" s="18" t="s">
        <v>34</v>
      </c>
      <c r="I23" s="4">
        <v>3</v>
      </c>
      <c r="J23" s="27">
        <f>Matlab_Auswertung_Ringversuche!D2</f>
        <v>2.3704298915226998</v>
      </c>
      <c r="K23" s="32"/>
      <c r="L23" s="7">
        <f t="shared" si="4"/>
        <v>1.6342668620456355</v>
      </c>
      <c r="M23" s="6">
        <f t="shared" si="5"/>
        <v>2.6708281763804882</v>
      </c>
      <c r="N23" t="s">
        <v>42</v>
      </c>
      <c r="O23" t="s">
        <v>86</v>
      </c>
    </row>
    <row r="24" spans="1:15" x14ac:dyDescent="0.3">
      <c r="A24" t="s">
        <v>80</v>
      </c>
      <c r="B24" t="s">
        <v>57</v>
      </c>
      <c r="C24" s="11">
        <f t="shared" si="6"/>
        <v>76.206896551724142</v>
      </c>
      <c r="D24" s="11">
        <f t="shared" si="7"/>
        <v>7.7781181542284694E-2</v>
      </c>
      <c r="E24" s="11">
        <f t="shared" si="0"/>
        <v>50.804597701149426</v>
      </c>
      <c r="F24" s="31"/>
      <c r="G24" s="16">
        <f>G25/1000*100</f>
        <v>0.10206580383376723</v>
      </c>
      <c r="H24" s="18" t="s">
        <v>34</v>
      </c>
      <c r="I24" s="4">
        <v>3</v>
      </c>
      <c r="J24" s="27">
        <f>Matlab_Auswertung_Ringversuche!A2</f>
        <v>25.402298850574713</v>
      </c>
      <c r="K24" s="32"/>
      <c r="L24" s="7">
        <f t="shared" si="4"/>
        <v>2.5927060514094893E-2</v>
      </c>
      <c r="M24" s="6">
        <f t="shared" si="5"/>
        <v>6.7221246690153853E-4</v>
      </c>
      <c r="N24" t="s">
        <v>42</v>
      </c>
      <c r="O24" t="s">
        <v>86</v>
      </c>
    </row>
    <row r="25" spans="1:15" x14ac:dyDescent="0.3">
      <c r="A25" t="s">
        <v>80</v>
      </c>
      <c r="B25" t="s">
        <v>57</v>
      </c>
      <c r="C25" s="11">
        <f t="shared" ref="C25" si="8">J25*3</f>
        <v>19.758208184879212</v>
      </c>
      <c r="D25" s="11">
        <f t="shared" si="7"/>
        <v>0.20166374007046156</v>
      </c>
      <c r="E25" s="11">
        <f t="shared" ref="E25" si="9">J25*2</f>
        <v>13.172138789919474</v>
      </c>
      <c r="F25" s="31">
        <v>0.7</v>
      </c>
      <c r="G25" s="16">
        <f>mean_feed_values!E7</f>
        <v>1.0206580383376722</v>
      </c>
      <c r="H25" s="18" t="s">
        <v>51</v>
      </c>
      <c r="I25" s="4">
        <v>3</v>
      </c>
      <c r="J25" s="29">
        <f>L25/G25*100</f>
        <v>6.5860693949597371</v>
      </c>
      <c r="K25" s="32">
        <f t="shared" si="1"/>
        <v>4.6102485764718155E-2</v>
      </c>
      <c r="L25" s="9">
        <f>(1000/100)^2*L24^2</f>
        <v>6.7221246690153849E-2</v>
      </c>
      <c r="M25" s="6">
        <f t="shared" si="5"/>
        <v>4.5186960065785198E-3</v>
      </c>
      <c r="N25" t="s">
        <v>60</v>
      </c>
    </row>
    <row r="26" spans="1:15" x14ac:dyDescent="0.3">
      <c r="A26" t="s">
        <v>80</v>
      </c>
      <c r="B26" t="s">
        <v>57</v>
      </c>
      <c r="C26" s="11">
        <f t="shared" ref="C26" si="10">J26*3</f>
        <v>24.119999999999997</v>
      </c>
      <c r="D26" s="11">
        <f t="shared" si="7"/>
        <v>0.24618271884704651</v>
      </c>
      <c r="E26" s="11">
        <f t="shared" ref="E26" si="11">J26*2</f>
        <v>16.079999999999998</v>
      </c>
      <c r="F26" s="31"/>
      <c r="G26" s="16">
        <f>mean_feed_values!E7</f>
        <v>1.0206580383376722</v>
      </c>
      <c r="H26" s="18" t="s">
        <v>51</v>
      </c>
      <c r="I26" s="4">
        <v>3</v>
      </c>
      <c r="J26" s="27">
        <f>Matlab_Auswertung_Ringversuche!B2</f>
        <v>8.0399999999999991</v>
      </c>
      <c r="K26" s="32"/>
      <c r="L26" s="7">
        <f t="shared" si="4"/>
        <v>8.2060906282348828E-2</v>
      </c>
      <c r="M26" s="6">
        <f>L26^2</f>
        <v>6.7339923398804374E-3</v>
      </c>
      <c r="N26" t="s">
        <v>42</v>
      </c>
      <c r="O26" t="s">
        <v>86</v>
      </c>
    </row>
    <row r="27" spans="1:15" x14ac:dyDescent="0.3">
      <c r="A27" t="s">
        <v>31</v>
      </c>
      <c r="B27" t="s">
        <v>32</v>
      </c>
      <c r="C27" s="14">
        <f>D27/G27*100</f>
        <v>1</v>
      </c>
      <c r="D27" s="10">
        <v>0.01</v>
      </c>
      <c r="E27" s="11">
        <f t="shared" ref="E27:E41" si="12">J27*2</f>
        <v>0.66666666666666663</v>
      </c>
      <c r="F27" s="31"/>
      <c r="G27" s="16">
        <v>1</v>
      </c>
      <c r="H27" s="18" t="s">
        <v>1</v>
      </c>
      <c r="I27" s="4">
        <v>3</v>
      </c>
      <c r="J27" s="27">
        <f>C27/I27</f>
        <v>0.33333333333333331</v>
      </c>
      <c r="K27" s="32"/>
      <c r="L27" s="7">
        <f t="shared" si="4"/>
        <v>3.3333333333333331E-3</v>
      </c>
      <c r="M27" s="6">
        <f t="shared" si="5"/>
        <v>1.111111111111111E-5</v>
      </c>
      <c r="N27" t="s">
        <v>41</v>
      </c>
    </row>
    <row r="28" spans="1:15" x14ac:dyDescent="0.3">
      <c r="A28" t="s">
        <v>109</v>
      </c>
      <c r="B28" t="s">
        <v>110</v>
      </c>
      <c r="C28" s="11">
        <f t="shared" ref="C28" si="13">J28*3</f>
        <v>1.3520010403367269E-2</v>
      </c>
      <c r="D28" s="11">
        <f t="shared" ref="D28:D53" si="14">C28/100*G28</f>
        <v>0.10969698153868007</v>
      </c>
      <c r="E28" s="11">
        <f t="shared" si="12"/>
        <v>9.0133402689115127E-3</v>
      </c>
      <c r="F28" s="31"/>
      <c r="G28" s="16">
        <f>1000 *(1-G21/100)</f>
        <v>811.36758231605461</v>
      </c>
      <c r="H28" s="18" t="s">
        <v>51</v>
      </c>
      <c r="I28" s="4">
        <v>3</v>
      </c>
      <c r="J28" s="1">
        <f>L28/G28</f>
        <v>4.5066701344557564E-3</v>
      </c>
      <c r="K28" s="32"/>
      <c r="L28" s="7">
        <f>SQRT(M28)</f>
        <v>3.6565660512893361</v>
      </c>
      <c r="M28" s="9">
        <f>10^2*M21</f>
        <v>13.370475287441689</v>
      </c>
      <c r="N28" t="s">
        <v>114</v>
      </c>
    </row>
    <row r="29" spans="1:15" x14ac:dyDescent="0.3">
      <c r="A29" t="s">
        <v>43</v>
      </c>
      <c r="B29" t="s">
        <v>58</v>
      </c>
      <c r="C29" s="11">
        <f t="shared" si="6"/>
        <v>21.57</v>
      </c>
      <c r="D29" s="11">
        <f t="shared" si="14"/>
        <v>4.5478682723231776</v>
      </c>
      <c r="E29" s="11">
        <f t="shared" si="12"/>
        <v>14.38</v>
      </c>
      <c r="F29" s="31"/>
      <c r="G29" s="16">
        <f>mean_feed_values!E13/10</f>
        <v>21.084229357084734</v>
      </c>
      <c r="H29" s="18" t="s">
        <v>35</v>
      </c>
      <c r="I29" s="4">
        <v>3</v>
      </c>
      <c r="J29" s="27">
        <f>Matlab_Auswertung_Ringversuche!J2</f>
        <v>7.19</v>
      </c>
      <c r="K29" s="32"/>
      <c r="L29" s="7">
        <f t="shared" si="4"/>
        <v>1.5159560907743925</v>
      </c>
      <c r="M29" s="6">
        <f t="shared" si="5"/>
        <v>2.2981228691559781</v>
      </c>
      <c r="N29" t="s">
        <v>42</v>
      </c>
      <c r="O29" t="s">
        <v>86</v>
      </c>
    </row>
    <row r="30" spans="1:15" x14ac:dyDescent="0.3">
      <c r="A30" t="s">
        <v>43</v>
      </c>
      <c r="B30" t="s">
        <v>58</v>
      </c>
      <c r="C30" s="11">
        <f t="shared" ref="C30" si="15">J30*3</f>
        <v>22.340178673347125</v>
      </c>
      <c r="D30" s="11">
        <f t="shared" si="14"/>
        <v>0.88850669617913391</v>
      </c>
      <c r="E30" s="11">
        <f t="shared" si="12"/>
        <v>14.893452448898085</v>
      </c>
      <c r="F30" s="31"/>
      <c r="G30" s="1">
        <f>G29*$G$21/100</f>
        <v>3.9771691586297107</v>
      </c>
      <c r="H30" s="18" t="s">
        <v>51</v>
      </c>
      <c r="I30" s="4">
        <v>3</v>
      </c>
      <c r="J30" s="27">
        <f>SQRT((J29/100)^2+(J$21/100)^2)*100</f>
        <v>7.4467262244490424</v>
      </c>
      <c r="K30" s="32"/>
      <c r="L30" s="7">
        <f t="shared" ref="L30" si="16">J30/100*G30</f>
        <v>0.29616889872637797</v>
      </c>
      <c r="M30" s="6">
        <f t="shared" ref="M30" si="17">L30^2</f>
        <v>8.7716016572795527E-2</v>
      </c>
      <c r="N30" t="s">
        <v>62</v>
      </c>
    </row>
    <row r="31" spans="1:15" x14ac:dyDescent="0.3">
      <c r="A31" t="s">
        <v>44</v>
      </c>
      <c r="B31" t="s">
        <v>56</v>
      </c>
      <c r="C31" s="11">
        <f t="shared" ref="C31:C41" si="18">J31*3</f>
        <v>22.197543611107776</v>
      </c>
      <c r="D31" s="11">
        <f t="shared" si="14"/>
        <v>3.3223527780258104</v>
      </c>
      <c r="E31" s="11">
        <f t="shared" si="12"/>
        <v>14.798362407405184</v>
      </c>
      <c r="F31" s="31">
        <v>11</v>
      </c>
      <c r="G31" s="16">
        <f>mean_feed_values!E10/10</f>
        <v>14.967209148147754</v>
      </c>
      <c r="H31" s="18" t="s">
        <v>35</v>
      </c>
      <c r="I31" s="4">
        <v>3</v>
      </c>
      <c r="J31" s="27">
        <f>Matlab_Auswertung_Ringversuche!K2</f>
        <v>7.3991812037025921</v>
      </c>
      <c r="K31" s="32">
        <f t="shared" si="1"/>
        <v>0.81390993240728515</v>
      </c>
      <c r="L31" s="7">
        <f t="shared" si="4"/>
        <v>1.1074509260086036</v>
      </c>
      <c r="M31" s="6">
        <f t="shared" si="5"/>
        <v>1.2264475535173136</v>
      </c>
      <c r="N31" t="s">
        <v>42</v>
      </c>
      <c r="O31" t="s">
        <v>91</v>
      </c>
    </row>
    <row r="32" spans="1:15" x14ac:dyDescent="0.3">
      <c r="A32" t="s">
        <v>44</v>
      </c>
      <c r="B32" t="s">
        <v>56</v>
      </c>
      <c r="C32" s="11">
        <f t="shared" si="18"/>
        <v>22.946669159686454</v>
      </c>
      <c r="D32" s="11">
        <f t="shared" si="14"/>
        <v>0.6478535048805637</v>
      </c>
      <c r="E32" s="11">
        <f t="shared" si="12"/>
        <v>15.29777943979097</v>
      </c>
      <c r="F32" s="31"/>
      <c r="G32" s="1">
        <f>G31*$G$21/100</f>
        <v>2.8233008475963755</v>
      </c>
      <c r="H32" s="18" t="s">
        <v>51</v>
      </c>
      <c r="I32" s="4">
        <v>3</v>
      </c>
      <c r="J32" s="27">
        <f>SQRT((J31/100)^2+(J$21/100)^2)*100</f>
        <v>7.6488897198954851</v>
      </c>
      <c r="K32" s="32"/>
      <c r="L32" s="7">
        <f t="shared" ref="L32" si="19">J32/100*G32</f>
        <v>0.21595116829352126</v>
      </c>
      <c r="M32" s="6">
        <f t="shared" ref="M32" si="20">L32^2</f>
        <v>4.6634907087336745E-2</v>
      </c>
      <c r="N32" t="s">
        <v>62</v>
      </c>
    </row>
    <row r="33" spans="1:15" x14ac:dyDescent="0.3">
      <c r="A33" t="s">
        <v>45</v>
      </c>
      <c r="B33" t="s">
        <v>58</v>
      </c>
      <c r="C33" s="11">
        <f t="shared" si="18"/>
        <v>30.111524163568774</v>
      </c>
      <c r="D33" s="11">
        <f t="shared" si="14"/>
        <v>1.4167401447802006</v>
      </c>
      <c r="E33" s="11">
        <f t="shared" si="12"/>
        <v>20.074349442379184</v>
      </c>
      <c r="F33" s="31">
        <v>5</v>
      </c>
      <c r="G33" s="16">
        <f>mean_feed_values!E12/10</f>
        <v>4.7049765301959745</v>
      </c>
      <c r="H33" s="18" t="s">
        <v>35</v>
      </c>
      <c r="I33" s="4">
        <v>3</v>
      </c>
      <c r="J33" s="27">
        <f>Matlab_Auswertung_Ringversuche!L2</f>
        <v>10.037174721189592</v>
      </c>
      <c r="K33" s="32">
        <f t="shared" si="1"/>
        <v>0.50185873605947962</v>
      </c>
      <c r="L33" s="7">
        <f t="shared" si="4"/>
        <v>0.47224671492673354</v>
      </c>
      <c r="M33" s="6">
        <f t="shared" si="5"/>
        <v>0.22301695975909153</v>
      </c>
      <c r="N33" t="s">
        <v>42</v>
      </c>
      <c r="O33" t="s">
        <v>86</v>
      </c>
    </row>
    <row r="34" spans="1:15" x14ac:dyDescent="0.3">
      <c r="A34" t="s">
        <v>45</v>
      </c>
      <c r="B34" t="s">
        <v>58</v>
      </c>
      <c r="C34" s="11">
        <f t="shared" si="18"/>
        <v>30.667940436394808</v>
      </c>
      <c r="D34" s="11">
        <f t="shared" si="14"/>
        <v>0.2721813749124074</v>
      </c>
      <c r="E34" s="11">
        <f t="shared" si="12"/>
        <v>20.445293624263204</v>
      </c>
      <c r="F34" s="31"/>
      <c r="G34" s="1">
        <f>G33*$G$21/100</f>
        <v>0.88751109803708716</v>
      </c>
      <c r="H34" s="18" t="s">
        <v>51</v>
      </c>
      <c r="I34" s="4">
        <v>3</v>
      </c>
      <c r="J34" s="27">
        <f>SQRT((J33/100)^2+(J$21/100)^2)*100</f>
        <v>10.222646812131602</v>
      </c>
      <c r="K34" s="32"/>
      <c r="L34" s="7">
        <f t="shared" ref="L34" si="21">J34/100*G34</f>
        <v>9.0727124970802472E-2</v>
      </c>
      <c r="M34" s="6">
        <f t="shared" ref="M34" si="22">L34^2</f>
        <v>8.2314112054676092E-3</v>
      </c>
      <c r="N34" t="s">
        <v>62</v>
      </c>
    </row>
    <row r="35" spans="1:15" x14ac:dyDescent="0.3">
      <c r="A35" t="s">
        <v>46</v>
      </c>
      <c r="B35" t="s">
        <v>58</v>
      </c>
      <c r="C35" s="11">
        <f t="shared" si="18"/>
        <v>16.551724137931036</v>
      </c>
      <c r="D35" s="11">
        <f t="shared" si="14"/>
        <v>1.901155605051575</v>
      </c>
      <c r="E35" s="11">
        <f t="shared" si="12"/>
        <v>11.03448275862069</v>
      </c>
      <c r="F35" s="31">
        <v>14</v>
      </c>
      <c r="G35" s="16">
        <f>mean_feed_values!E11/10</f>
        <v>11.486148447186599</v>
      </c>
      <c r="H35" s="18" t="s">
        <v>35</v>
      </c>
      <c r="I35" s="4">
        <v>3</v>
      </c>
      <c r="J35" s="27">
        <f>Matlab_Auswertung_Ringversuche!M2</f>
        <v>5.5172413793103452</v>
      </c>
      <c r="K35" s="32">
        <f t="shared" si="1"/>
        <v>0.77241379310344838</v>
      </c>
      <c r="L35" s="7">
        <f t="shared" si="4"/>
        <v>0.63371853501719178</v>
      </c>
      <c r="M35" s="6">
        <f t="shared" si="5"/>
        <v>0.40159918162433572</v>
      </c>
      <c r="N35" t="s">
        <v>42</v>
      </c>
      <c r="O35" t="s">
        <v>86</v>
      </c>
    </row>
    <row r="36" spans="1:15" x14ac:dyDescent="0.3">
      <c r="A36" t="s">
        <v>46</v>
      </c>
      <c r="B36" t="s">
        <v>58</v>
      </c>
      <c r="C36" s="11">
        <f t="shared" si="18"/>
        <v>17.543610093000886</v>
      </c>
      <c r="D36" s="11">
        <f t="shared" si="14"/>
        <v>3.0034660479217519</v>
      </c>
      <c r="E36" s="11">
        <f t="shared" si="12"/>
        <v>11.69574006200059</v>
      </c>
      <c r="F36" s="31"/>
      <c r="G36" s="16">
        <v>17.12</v>
      </c>
      <c r="H36" s="18" t="s">
        <v>51</v>
      </c>
      <c r="I36" s="4">
        <v>3</v>
      </c>
      <c r="J36" s="27">
        <f>SQRT((J35/100)^2+(J$21/100)^2)*100</f>
        <v>5.8478700310002951</v>
      </c>
      <c r="K36" s="32"/>
      <c r="L36" s="7">
        <f t="shared" si="4"/>
        <v>1.0011553493072505</v>
      </c>
      <c r="M36" s="6">
        <f t="shared" si="5"/>
        <v>1.0023120334465228</v>
      </c>
      <c r="N36" t="s">
        <v>62</v>
      </c>
    </row>
    <row r="37" spans="1:15" x14ac:dyDescent="0.3">
      <c r="A37" t="s">
        <v>78</v>
      </c>
      <c r="B37" t="s">
        <v>58</v>
      </c>
      <c r="C37" s="11">
        <f t="shared" si="18"/>
        <v>85.714285714285722</v>
      </c>
      <c r="D37" s="11">
        <f t="shared" si="14"/>
        <v>9.8891449123712096</v>
      </c>
      <c r="E37" s="11">
        <f t="shared" si="12"/>
        <v>57.142857142857153</v>
      </c>
      <c r="F37" s="31">
        <v>7</v>
      </c>
      <c r="G37" s="16">
        <f>mean_feed_values!E17/10</f>
        <v>11.537335731099743</v>
      </c>
      <c r="H37" s="18" t="s">
        <v>35</v>
      </c>
      <c r="I37" s="4">
        <v>3</v>
      </c>
      <c r="J37" s="27">
        <f>Matlab_Auswertung_Ringversuche!N2</f>
        <v>28.571428571428577</v>
      </c>
      <c r="K37" s="32">
        <f t="shared" si="1"/>
        <v>2.0000000000000004</v>
      </c>
      <c r="L37" s="7">
        <f>J37/100*G37</f>
        <v>3.29638163745707</v>
      </c>
      <c r="M37" s="6">
        <f t="shared" si="5"/>
        <v>10.866131899764154</v>
      </c>
      <c r="N37" t="s">
        <v>42</v>
      </c>
      <c r="O37" t="s">
        <v>88</v>
      </c>
    </row>
    <row r="38" spans="1:15" x14ac:dyDescent="0.3">
      <c r="A38" t="s">
        <v>78</v>
      </c>
      <c r="B38" t="s">
        <v>58</v>
      </c>
      <c r="C38" s="11">
        <f>J38*3</f>
        <v>85.911334867218073</v>
      </c>
      <c r="D38" s="11">
        <f t="shared" si="14"/>
        <v>12.671921892914666</v>
      </c>
      <c r="E38" s="11">
        <f>J38*2</f>
        <v>57.274223244812049</v>
      </c>
      <c r="F38" s="31"/>
      <c r="G38" s="16">
        <v>14.75</v>
      </c>
      <c r="H38" s="18" t="s">
        <v>51</v>
      </c>
      <c r="I38" s="4">
        <v>3</v>
      </c>
      <c r="J38" s="27">
        <f>SQRT((J37/100)^2+(J$21/100)^2)*100</f>
        <v>28.637111622406024</v>
      </c>
      <c r="K38" s="32"/>
      <c r="L38" s="7">
        <f>J38/100*G38</f>
        <v>4.2239739643048884</v>
      </c>
      <c r="M38" s="6">
        <f>L38^2</f>
        <v>17.841956051125553</v>
      </c>
      <c r="N38" t="s">
        <v>62</v>
      </c>
    </row>
    <row r="39" spans="1:15" x14ac:dyDescent="0.3">
      <c r="A39" t="s">
        <v>107</v>
      </c>
      <c r="B39" t="s">
        <v>58</v>
      </c>
      <c r="C39" s="11">
        <f>J39*3</f>
        <v>10.419599999999999</v>
      </c>
      <c r="D39" s="11">
        <f t="shared" si="14"/>
        <v>7.1682229846840597</v>
      </c>
      <c r="E39" s="11">
        <f>J39*2</f>
        <v>6.9463999999999997</v>
      </c>
      <c r="F39" s="31"/>
      <c r="G39" s="16">
        <f>mean_feed_values!E24/10</f>
        <v>68.795567821068559</v>
      </c>
      <c r="H39" s="18" t="s">
        <v>35</v>
      </c>
      <c r="I39" s="4">
        <v>3</v>
      </c>
      <c r="J39" s="27">
        <v>3.4731999999999998</v>
      </c>
      <c r="K39" s="32"/>
      <c r="L39" s="7">
        <f>J39/100*G39</f>
        <v>2.3894076615613531</v>
      </c>
      <c r="M39" s="6">
        <f t="shared" ref="M39:M40" si="23">L39^2</f>
        <v>5.7092689731280934</v>
      </c>
      <c r="N39" t="s">
        <v>106</v>
      </c>
      <c r="O39" t="s">
        <v>86</v>
      </c>
    </row>
    <row r="40" spans="1:15" x14ac:dyDescent="0.3">
      <c r="A40" t="s">
        <v>107</v>
      </c>
      <c r="B40" t="s">
        <v>58</v>
      </c>
      <c r="C40" s="11">
        <f>J40*3</f>
        <v>11.932591810544499</v>
      </c>
      <c r="D40" s="11">
        <f t="shared" si="14"/>
        <v>1.548501303264201</v>
      </c>
      <c r="E40" s="11">
        <f>J40*2</f>
        <v>7.955061207029666</v>
      </c>
      <c r="F40" s="31"/>
      <c r="G40" s="1">
        <f>G39*$G$21/100</f>
        <v>12.977074284027998</v>
      </c>
      <c r="H40" s="18" t="s">
        <v>51</v>
      </c>
      <c r="I40" s="4">
        <v>3</v>
      </c>
      <c r="J40" s="27">
        <f>SQRT((J39/100)^2+(J$21/100)^2)*100</f>
        <v>3.977530603514833</v>
      </c>
      <c r="K40" s="32"/>
      <c r="L40" s="7">
        <f>J40/100*G40</f>
        <v>0.51616710108806707</v>
      </c>
      <c r="M40" s="6">
        <f t="shared" si="23"/>
        <v>0.26642847624565885</v>
      </c>
      <c r="N40" t="s">
        <v>106</v>
      </c>
      <c r="O40" t="s">
        <v>86</v>
      </c>
    </row>
    <row r="41" spans="1:15" x14ac:dyDescent="0.3">
      <c r="A41" t="s">
        <v>53</v>
      </c>
      <c r="B41" t="s">
        <v>12</v>
      </c>
      <c r="C41" s="11">
        <f t="shared" si="18"/>
        <v>6.4608695652173918</v>
      </c>
      <c r="D41" s="11">
        <f t="shared" si="14"/>
        <v>0.39280129117259549</v>
      </c>
      <c r="E41" s="11">
        <f t="shared" si="12"/>
        <v>4.3072463768115945</v>
      </c>
      <c r="F41" s="31">
        <v>5</v>
      </c>
      <c r="G41" s="16">
        <v>6.0796969696969683</v>
      </c>
      <c r="H41" s="18" t="s">
        <v>54</v>
      </c>
      <c r="I41" s="4">
        <v>3</v>
      </c>
      <c r="J41" s="27">
        <f>Matlab_Auswertung_Ringversuche!O2</f>
        <v>2.1536231884057973</v>
      </c>
      <c r="K41" s="32">
        <f t="shared" si="1"/>
        <v>0.10768115942028986</v>
      </c>
      <c r="L41" s="7">
        <f t="shared" ref="L41" si="24">J41/100*G41</f>
        <v>0.13093376372419849</v>
      </c>
      <c r="M41" s="6">
        <f t="shared" ref="M41" si="25">L41^2</f>
        <v>1.7143650482984236E-2</v>
      </c>
      <c r="N41" t="s">
        <v>42</v>
      </c>
      <c r="O41" t="s">
        <v>86</v>
      </c>
    </row>
    <row r="42" spans="1:15" x14ac:dyDescent="0.3">
      <c r="A42" t="s">
        <v>116</v>
      </c>
      <c r="B42" t="s">
        <v>58</v>
      </c>
      <c r="C42" s="11">
        <f t="shared" ref="C42:C44" si="26">J42*3</f>
        <v>17.642231947483587</v>
      </c>
      <c r="D42" s="11">
        <f t="shared" si="14"/>
        <v>6.2991921153764032</v>
      </c>
      <c r="E42" s="11">
        <f t="shared" ref="E42:E45" si="27">J42*2</f>
        <v>11.761487964989058</v>
      </c>
      <c r="F42" s="31"/>
      <c r="G42" s="1">
        <f>mean_feed_values!E20/10</f>
        <v>35.705188176459117</v>
      </c>
      <c r="H42" s="18" t="s">
        <v>35</v>
      </c>
      <c r="I42" s="4">
        <v>3</v>
      </c>
      <c r="J42" s="27">
        <f>Matlab_Auswertung_Ringversuche!Q2</f>
        <v>5.8807439824945291</v>
      </c>
      <c r="K42" s="32"/>
      <c r="L42" s="7">
        <f t="shared" ref="L42:L45" si="28">J42/100*G42</f>
        <v>2.0997307051254674</v>
      </c>
      <c r="M42" s="6">
        <f t="shared" ref="M42:M45" si="29">L42^2</f>
        <v>4.4088690340466927</v>
      </c>
      <c r="N42" t="s">
        <v>42</v>
      </c>
    </row>
    <row r="43" spans="1:15" x14ac:dyDescent="0.3">
      <c r="A43" t="s">
        <v>116</v>
      </c>
      <c r="B43" t="s">
        <v>58</v>
      </c>
      <c r="C43" s="11">
        <f t="shared" ref="C43" si="30">J43*3</f>
        <v>18.575979953851267</v>
      </c>
      <c r="D43" s="11">
        <f t="shared" si="14"/>
        <v>1.2511212227708572</v>
      </c>
      <c r="E43" s="11">
        <f t="shared" ref="E43" si="31">J43*2</f>
        <v>12.383986635900845</v>
      </c>
      <c r="F43" s="31"/>
      <c r="G43" s="1">
        <f>G42*$G$21/100</f>
        <v>6.735155969585704</v>
      </c>
      <c r="H43" s="18" t="s">
        <v>51</v>
      </c>
      <c r="I43" s="4">
        <v>3</v>
      </c>
      <c r="J43" s="27">
        <f>SQRT((J42/100)^2+(J$21/100)^2)*100</f>
        <v>6.1919933179504225</v>
      </c>
      <c r="K43" s="32"/>
      <c r="L43" s="7">
        <f t="shared" ref="L43" si="32">J43/100*G43</f>
        <v>0.41704040759028582</v>
      </c>
      <c r="M43" s="6">
        <f t="shared" ref="M43" si="33">L43^2</f>
        <v>0.17392270156307174</v>
      </c>
      <c r="N43" t="s">
        <v>62</v>
      </c>
    </row>
    <row r="44" spans="1:15" x14ac:dyDescent="0.3">
      <c r="A44" t="s">
        <v>117</v>
      </c>
      <c r="B44" t="s">
        <v>58</v>
      </c>
      <c r="C44" s="11">
        <f t="shared" si="26"/>
        <v>17.642231947483587</v>
      </c>
      <c r="D44" s="11">
        <f t="shared" si="14"/>
        <v>7.8172334878478482</v>
      </c>
      <c r="E44" s="11">
        <f t="shared" si="27"/>
        <v>11.761487964989058</v>
      </c>
      <c r="F44" s="31"/>
      <c r="G44" s="1">
        <f>mean_feed_values!E19/10</f>
        <v>44.309776172979433</v>
      </c>
      <c r="H44" s="18" t="s">
        <v>35</v>
      </c>
      <c r="I44" s="4">
        <v>3</v>
      </c>
      <c r="J44" s="27">
        <f>Matlab_Auswertung_Ringversuche!R2</f>
        <v>5.8807439824945291</v>
      </c>
      <c r="K44" s="32"/>
      <c r="L44" s="7">
        <f t="shared" si="28"/>
        <v>2.6057444959492826</v>
      </c>
      <c r="M44" s="6">
        <f t="shared" si="29"/>
        <v>6.7899043781699806</v>
      </c>
      <c r="N44" t="s">
        <v>42</v>
      </c>
    </row>
    <row r="45" spans="1:15" x14ac:dyDescent="0.3">
      <c r="A45" t="s">
        <v>117</v>
      </c>
      <c r="B45" t="s">
        <v>58</v>
      </c>
      <c r="C45" s="11">
        <f>J45*3</f>
        <v>18.575979953851267</v>
      </c>
      <c r="D45" s="11">
        <f t="shared" si="14"/>
        <v>1.5526287404582642</v>
      </c>
      <c r="E45" s="11">
        <f t="shared" si="27"/>
        <v>12.383986635900845</v>
      </c>
      <c r="F45" s="31"/>
      <c r="G45" s="1">
        <f>G44*$G$21/100</f>
        <v>8.3582602065435871</v>
      </c>
      <c r="H45" s="18" t="s">
        <v>51</v>
      </c>
      <c r="I45" s="4">
        <v>3</v>
      </c>
      <c r="J45" s="27">
        <f>SQRT((J44/100)^2+(J$21/100)^2)*100</f>
        <v>6.1919933179504225</v>
      </c>
      <c r="K45" s="32"/>
      <c r="L45" s="7">
        <f t="shared" si="28"/>
        <v>0.51754291348608816</v>
      </c>
      <c r="M45" s="6">
        <f t="shared" si="29"/>
        <v>0.26785066729966855</v>
      </c>
      <c r="N45" t="s">
        <v>62</v>
      </c>
    </row>
    <row r="46" spans="1:15" x14ac:dyDescent="0.3">
      <c r="A46" t="s">
        <v>118</v>
      </c>
      <c r="B46" t="s">
        <v>58</v>
      </c>
      <c r="C46" s="11">
        <f t="shared" ref="C46:C49" si="34">J46*3</f>
        <v>87.511068577632045</v>
      </c>
      <c r="D46" s="11">
        <f t="shared" si="14"/>
        <v>20.828969528484173</v>
      </c>
      <c r="E46" s="11">
        <f t="shared" ref="E46:E49" si="35">J46*2</f>
        <v>58.340712385088025</v>
      </c>
      <c r="F46" s="31"/>
      <c r="G46" s="1">
        <f>mean_feed_values!E16/10</f>
        <v>23.801525757860631</v>
      </c>
      <c r="H46" s="18" t="s">
        <v>35</v>
      </c>
      <c r="I46" s="4">
        <v>3</v>
      </c>
      <c r="J46" s="27">
        <f>SQRT(J42^2 + J37^2)</f>
        <v>29.170356192544013</v>
      </c>
      <c r="K46" s="32"/>
      <c r="L46" s="7">
        <f t="shared" ref="L46:L47" si="36">J46/100*G46</f>
        <v>6.9429898428280561</v>
      </c>
      <c r="M46" s="6">
        <f t="shared" ref="M46:M47" si="37">L46^2</f>
        <v>48.205107957613556</v>
      </c>
      <c r="N46" t="s">
        <v>130</v>
      </c>
    </row>
    <row r="47" spans="1:15" x14ac:dyDescent="0.3">
      <c r="A47" t="s">
        <v>118</v>
      </c>
      <c r="B47" t="s">
        <v>58</v>
      </c>
      <c r="C47" s="11">
        <f t="shared" si="34"/>
        <v>87.704080901381602</v>
      </c>
      <c r="D47" s="11">
        <f t="shared" si="14"/>
        <v>3.9376846302695947</v>
      </c>
      <c r="E47" s="11">
        <f t="shared" si="35"/>
        <v>58.469387267587734</v>
      </c>
      <c r="F47" s="31"/>
      <c r="G47" s="1">
        <f>G46*$G$21/100</f>
        <v>4.489739348271951</v>
      </c>
      <c r="H47" s="18" t="s">
        <v>51</v>
      </c>
      <c r="I47" s="4">
        <v>3</v>
      </c>
      <c r="J47" s="27">
        <f>SQRT((J46/100)^2+(J$21/100)^2)*100</f>
        <v>29.234693633793867</v>
      </c>
      <c r="K47" s="32"/>
      <c r="L47" s="7">
        <f t="shared" si="36"/>
        <v>1.3125615434231983</v>
      </c>
      <c r="M47" s="6">
        <f t="shared" si="37"/>
        <v>1.7228178052734886</v>
      </c>
      <c r="N47" t="s">
        <v>62</v>
      </c>
    </row>
    <row r="48" spans="1:15" x14ac:dyDescent="0.3">
      <c r="A48" t="s">
        <v>129</v>
      </c>
      <c r="B48" t="s">
        <v>58</v>
      </c>
      <c r="C48" s="11">
        <f t="shared" si="34"/>
        <v>15.075723652866081</v>
      </c>
      <c r="D48" s="11">
        <f t="shared" si="14"/>
        <v>0.41413663716262461</v>
      </c>
      <c r="E48" s="11">
        <f t="shared" si="35"/>
        <v>10.050482435244055</v>
      </c>
      <c r="F48" s="31">
        <v>2.5</v>
      </c>
      <c r="G48" s="1">
        <f>mean_feed_values!E21/10</f>
        <v>2.7470431715156316</v>
      </c>
      <c r="H48" s="18" t="s">
        <v>35</v>
      </c>
      <c r="I48" s="4">
        <v>3</v>
      </c>
      <c r="J48" s="27">
        <f>A74</f>
        <v>5.0252412176220274</v>
      </c>
      <c r="K48" s="32">
        <f t="shared" si="1"/>
        <v>0.12563103044055068</v>
      </c>
      <c r="L48" s="7">
        <f>J48/100*G49</f>
        <v>2.6039865039828251E-2</v>
      </c>
      <c r="M48" s="6">
        <f t="shared" ref="M48:M49" si="38">L48^2</f>
        <v>6.7807457129246958E-4</v>
      </c>
      <c r="N48" t="s">
        <v>131</v>
      </c>
    </row>
    <row r="49" spans="1:14" x14ac:dyDescent="0.3">
      <c r="A49" t="s">
        <v>129</v>
      </c>
      <c r="B49" t="s">
        <v>58</v>
      </c>
      <c r="C49" s="11">
        <f t="shared" si="34"/>
        <v>16.15846919775074</v>
      </c>
      <c r="D49" s="11">
        <f t="shared" si="14"/>
        <v>8.373018108745818E-2</v>
      </c>
      <c r="E49" s="11">
        <f t="shared" si="35"/>
        <v>10.772312798500494</v>
      </c>
      <c r="F49" s="31"/>
      <c r="G49" s="1">
        <f>G48*$G$21/100</f>
        <v>0.51818139492516668</v>
      </c>
      <c r="H49" s="18" t="s">
        <v>51</v>
      </c>
      <c r="I49" s="4">
        <v>3</v>
      </c>
      <c r="J49" s="27">
        <f>SQRT((J48/100)^2+(J$21/100)^2)*100</f>
        <v>5.3861563992502468</v>
      </c>
      <c r="K49" s="32"/>
      <c r="L49" s="7">
        <f>J49/100*G50</f>
        <v>0.56462239979951978</v>
      </c>
      <c r="M49" s="6">
        <f t="shared" si="38"/>
        <v>0.31879845435536874</v>
      </c>
      <c r="N49" t="s">
        <v>62</v>
      </c>
    </row>
    <row r="50" spans="1:14" x14ac:dyDescent="0.3">
      <c r="A50" t="s">
        <v>136</v>
      </c>
      <c r="B50" t="s">
        <v>58</v>
      </c>
      <c r="C50" s="11">
        <f t="shared" ref="C50:C51" si="39">J50*3</f>
        <v>24.949883690663192</v>
      </c>
      <c r="D50" s="11">
        <f t="shared" si="14"/>
        <v>2.615457509941987</v>
      </c>
      <c r="E50" s="11">
        <f t="shared" ref="E50:E51" si="40">J50*2</f>
        <v>16.633255793775461</v>
      </c>
      <c r="F50" s="31"/>
      <c r="G50" s="1">
        <f>mean_feed_values!E18/10</f>
        <v>10.482844498873357</v>
      </c>
      <c r="H50" s="18" t="s">
        <v>35</v>
      </c>
      <c r="I50" s="4">
        <v>3</v>
      </c>
      <c r="J50" s="27">
        <f>SQRT(J42^2 + J44^2)</f>
        <v>8.3166278968877307</v>
      </c>
      <c r="K50" s="32"/>
      <c r="L50" s="7">
        <f t="shared" ref="L50:L53" si="41">J50/100*G51</f>
        <v>0.1644533578166629</v>
      </c>
      <c r="M50" s="6">
        <f t="shared" ref="M50:M53" si="42">L50^2</f>
        <v>2.7044906897175359E-2</v>
      </c>
    </row>
    <row r="51" spans="1:14" x14ac:dyDescent="0.3">
      <c r="A51" t="s">
        <v>136</v>
      </c>
      <c r="B51" t="s">
        <v>58</v>
      </c>
      <c r="C51" s="11">
        <f t="shared" si="39"/>
        <v>25.618652957068115</v>
      </c>
      <c r="D51" s="11">
        <f t="shared" si="14"/>
        <v>0.50658434569451627</v>
      </c>
      <c r="E51" s="11">
        <f t="shared" si="40"/>
        <v>17.079101971378744</v>
      </c>
      <c r="F51" s="31"/>
      <c r="G51" s="1">
        <f>G50*$G$21/100</f>
        <v>1.9774043020273282</v>
      </c>
      <c r="H51" s="18" t="s">
        <v>51</v>
      </c>
      <c r="I51" s="4">
        <v>3</v>
      </c>
      <c r="J51" s="27">
        <f>SQRT((J50/100)^2+(J$21/100)^2)*100</f>
        <v>8.5395509856893721</v>
      </c>
      <c r="K51" s="32"/>
      <c r="L51" s="7">
        <f t="shared" si="41"/>
        <v>4.0119909421736795</v>
      </c>
      <c r="M51" s="6">
        <f t="shared" si="42"/>
        <v>16.096071320083649</v>
      </c>
    </row>
    <row r="52" spans="1:14" x14ac:dyDescent="0.3">
      <c r="A52" t="s">
        <v>137</v>
      </c>
      <c r="B52" t="s">
        <v>58</v>
      </c>
      <c r="C52" s="11">
        <f t="shared" ref="C52:C53" si="43">J52*3</f>
        <v>46.245640894665812</v>
      </c>
      <c r="D52" s="11">
        <f t="shared" si="14"/>
        <v>21.726797192889887</v>
      </c>
      <c r="E52" s="11">
        <f t="shared" ref="E52:E53" si="44">J52*2</f>
        <v>30.83042726311054</v>
      </c>
      <c r="F52" s="31"/>
      <c r="G52" s="1">
        <f>mean_feed_values!E14/10</f>
        <v>46.981286825232338</v>
      </c>
      <c r="H52" s="18" t="s">
        <v>35</v>
      </c>
      <c r="I52" s="4">
        <v>3</v>
      </c>
      <c r="J52" s="27">
        <f>SQRT(J31^2 +J33^2 + J35^2 +J29^2)</f>
        <v>15.41521363155527</v>
      </c>
      <c r="K52" s="32"/>
      <c r="L52" s="7">
        <f t="shared" si="41"/>
        <v>1.3661260943411921</v>
      </c>
      <c r="M52" s="6">
        <f t="shared" si="42"/>
        <v>1.8663005056399198</v>
      </c>
    </row>
    <row r="53" spans="1:14" x14ac:dyDescent="0.3">
      <c r="A53" t="s">
        <v>137</v>
      </c>
      <c r="B53" t="s">
        <v>58</v>
      </c>
      <c r="C53" s="11">
        <f t="shared" si="43"/>
        <v>46.609848582842019</v>
      </c>
      <c r="D53" s="11">
        <f t="shared" si="14"/>
        <v>4.1306550738919627</v>
      </c>
      <c r="E53" s="11">
        <f t="shared" si="44"/>
        <v>31.073232388561344</v>
      </c>
      <c r="F53" s="31"/>
      <c r="G53" s="1">
        <f>G52*$G$21/100</f>
        <v>8.8621937197464664</v>
      </c>
      <c r="H53" s="18" t="s">
        <v>51</v>
      </c>
      <c r="I53" s="4">
        <v>3</v>
      </c>
      <c r="J53" s="27">
        <f>SQRT((J52/100)^2+(J$21/100)^2)*100</f>
        <v>15.536616194280672</v>
      </c>
      <c r="K53" s="32"/>
      <c r="L53" s="7">
        <f t="shared" si="41"/>
        <v>0</v>
      </c>
      <c r="M53" s="6">
        <f t="shared" si="42"/>
        <v>0</v>
      </c>
    </row>
    <row r="60" spans="1:14" x14ac:dyDescent="0.3">
      <c r="J60" t="s">
        <v>121</v>
      </c>
    </row>
    <row r="62" spans="1:14" x14ac:dyDescent="0.3">
      <c r="J62" s="21" t="s">
        <v>111</v>
      </c>
      <c r="K62" s="21"/>
    </row>
    <row r="63" spans="1:14" x14ac:dyDescent="0.3">
      <c r="J63" s="21" t="s">
        <v>112</v>
      </c>
      <c r="K63" s="21"/>
    </row>
    <row r="64" spans="1:14" ht="16.8" x14ac:dyDescent="0.35">
      <c r="J64" s="25" t="s">
        <v>113</v>
      </c>
      <c r="K64" s="25"/>
    </row>
    <row r="67" spans="1:11" x14ac:dyDescent="0.3">
      <c r="A67" t="s">
        <v>138</v>
      </c>
    </row>
    <row r="68" spans="1:11" x14ac:dyDescent="0.3">
      <c r="D68" t="s">
        <v>132</v>
      </c>
      <c r="E68" t="s">
        <v>40</v>
      </c>
      <c r="G68" t="s">
        <v>133</v>
      </c>
      <c r="J68" t="s">
        <v>119</v>
      </c>
    </row>
    <row r="69" spans="1:11" ht="16.8" x14ac:dyDescent="0.35">
      <c r="D69">
        <v>120</v>
      </c>
      <c r="E69">
        <v>1000</v>
      </c>
      <c r="G69">
        <f>D69/10</f>
        <v>12</v>
      </c>
      <c r="J69" s="25" t="s">
        <v>120</v>
      </c>
      <c r="K69" s="25"/>
    </row>
    <row r="70" spans="1:11" x14ac:dyDescent="0.3">
      <c r="A70" t="s">
        <v>122</v>
      </c>
      <c r="B70" t="s">
        <v>124</v>
      </c>
      <c r="C70" t="s">
        <v>126</v>
      </c>
      <c r="D70" t="s">
        <v>125</v>
      </c>
      <c r="E70" t="s">
        <v>128</v>
      </c>
      <c r="G70" t="s">
        <v>123</v>
      </c>
    </row>
    <row r="71" spans="1:11" x14ac:dyDescent="0.3">
      <c r="A71" s="1">
        <f>SQRT((J21/G21)^2 + (J26/G26)^2)</f>
        <v>7.877941314546332</v>
      </c>
      <c r="B71">
        <v>100</v>
      </c>
      <c r="C71">
        <v>1000</v>
      </c>
      <c r="D71">
        <v>6.25</v>
      </c>
      <c r="E71">
        <f>D71/C71</f>
        <v>6.2500000000000003E-3</v>
      </c>
      <c r="G71">
        <v>0.625</v>
      </c>
      <c r="J71" t="s">
        <v>119</v>
      </c>
    </row>
    <row r="72" spans="1:11" ht="16.8" x14ac:dyDescent="0.35">
      <c r="J72" s="25" t="s">
        <v>120</v>
      </c>
      <c r="K72" s="25"/>
    </row>
    <row r="73" spans="1:11" x14ac:dyDescent="0.3">
      <c r="A73" t="s">
        <v>127</v>
      </c>
    </row>
    <row r="74" spans="1:11" x14ac:dyDescent="0.3">
      <c r="A74" s="1">
        <f>SQRT((J26^2)*(G71^2) +(A71^2)*(E71^2))</f>
        <v>5.0252412176220274</v>
      </c>
      <c r="J74" t="s">
        <v>134</v>
      </c>
    </row>
    <row r="75" spans="1:11" ht="16.8" x14ac:dyDescent="0.35">
      <c r="J75" s="25" t="s">
        <v>135</v>
      </c>
      <c r="K75" s="25"/>
    </row>
    <row r="77" spans="1:11" x14ac:dyDescent="0.3">
      <c r="J77" t="s">
        <v>139</v>
      </c>
    </row>
    <row r="78" spans="1:11" ht="16.8" x14ac:dyDescent="0.35">
      <c r="J78" s="25" t="s">
        <v>140</v>
      </c>
      <c r="K78" s="25"/>
    </row>
  </sheetData>
  <autoFilter ref="A1:N53" xr:uid="{00000000-0009-0000-0000-000001000000}"/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C11" sqref="C11:C14"/>
    </sheetView>
  </sheetViews>
  <sheetFormatPr baseColWidth="10" defaultRowHeight="14.4" x14ac:dyDescent="0.3"/>
  <cols>
    <col min="1" max="1" width="24.33203125" bestFit="1" customWidth="1"/>
    <col min="3" max="3" width="15" bestFit="1" customWidth="1"/>
    <col min="4" max="4" width="7.109375" bestFit="1" customWidth="1"/>
  </cols>
  <sheetData>
    <row r="1" spans="1:13" x14ac:dyDescent="0.3">
      <c r="A1" t="s">
        <v>63</v>
      </c>
      <c r="B1" t="s">
        <v>74</v>
      </c>
      <c r="C1" t="s">
        <v>77</v>
      </c>
      <c r="D1" t="s">
        <v>64</v>
      </c>
      <c r="H1" t="s">
        <v>63</v>
      </c>
      <c r="I1" t="s">
        <v>74</v>
      </c>
      <c r="J1" t="s">
        <v>77</v>
      </c>
      <c r="K1" t="s">
        <v>64</v>
      </c>
    </row>
    <row r="2" spans="1:13" x14ac:dyDescent="0.3">
      <c r="A2" t="s">
        <v>65</v>
      </c>
      <c r="B2" t="s">
        <v>23</v>
      </c>
      <c r="C2" s="1">
        <f>Unsicherheiten_Rel_Standard!J3</f>
        <v>0.66666666666666663</v>
      </c>
      <c r="D2" s="20">
        <f>C2/100</f>
        <v>6.6666666666666662E-3</v>
      </c>
      <c r="H2" t="s">
        <v>65</v>
      </c>
      <c r="I2" t="s">
        <v>23</v>
      </c>
      <c r="J2">
        <v>0.67</v>
      </c>
      <c r="K2">
        <v>6.7000000000000002E-3</v>
      </c>
      <c r="M2" s="1">
        <f>J2-C2</f>
        <v>3.3333333333334103E-3</v>
      </c>
    </row>
    <row r="3" spans="1:13" x14ac:dyDescent="0.3">
      <c r="A3" t="s">
        <v>66</v>
      </c>
      <c r="B3" t="s">
        <v>24</v>
      </c>
      <c r="C3" s="1">
        <f>Unsicherheiten_Rel_Standard!J4</f>
        <v>1</v>
      </c>
      <c r="D3" s="20">
        <f t="shared" ref="D3:D24" si="0">C3/100</f>
        <v>0.01</v>
      </c>
      <c r="H3" t="s">
        <v>66</v>
      </c>
      <c r="I3" t="s">
        <v>24</v>
      </c>
      <c r="J3">
        <v>1</v>
      </c>
      <c r="K3">
        <v>0.01</v>
      </c>
      <c r="M3" s="1">
        <f t="shared" ref="M3:M24" si="1">J3-C3</f>
        <v>0</v>
      </c>
    </row>
    <row r="4" spans="1:13" x14ac:dyDescent="0.3">
      <c r="A4" t="s">
        <v>67</v>
      </c>
      <c r="B4" t="s">
        <v>24</v>
      </c>
      <c r="C4" s="1">
        <f>Unsicherheiten_Rel_Standard!J5</f>
        <v>1.6666666666666667</v>
      </c>
      <c r="D4" s="20">
        <f t="shared" si="0"/>
        <v>1.6666666666666666E-2</v>
      </c>
      <c r="H4" t="s">
        <v>67</v>
      </c>
      <c r="I4" t="s">
        <v>24</v>
      </c>
      <c r="J4">
        <v>1.67</v>
      </c>
      <c r="K4">
        <v>1.67E-2</v>
      </c>
      <c r="M4" s="1">
        <f t="shared" si="1"/>
        <v>3.3333333333331883E-3</v>
      </c>
    </row>
    <row r="5" spans="1:13" x14ac:dyDescent="0.3">
      <c r="A5" t="s">
        <v>68</v>
      </c>
      <c r="B5" t="s">
        <v>54</v>
      </c>
      <c r="C5" s="1">
        <f>Unsicherheiten_Rel_Standard!J6</f>
        <v>8.8888888888888892E-2</v>
      </c>
      <c r="D5" s="20">
        <f t="shared" si="0"/>
        <v>8.8888888888888893E-4</v>
      </c>
      <c r="H5" t="s">
        <v>68</v>
      </c>
      <c r="I5" t="s">
        <v>54</v>
      </c>
      <c r="J5">
        <v>0.09</v>
      </c>
      <c r="K5">
        <v>8.9999999999999998E-4</v>
      </c>
      <c r="M5" s="1">
        <f t="shared" si="1"/>
        <v>1.1111111111111044E-3</v>
      </c>
    </row>
    <row r="6" spans="1:13" x14ac:dyDescent="0.3">
      <c r="A6" t="s">
        <v>69</v>
      </c>
      <c r="B6" t="s">
        <v>54</v>
      </c>
      <c r="C6" s="1">
        <f>Unsicherheiten_Rel_Standard!J7</f>
        <v>0.44444444444444448</v>
      </c>
      <c r="D6" s="20">
        <f t="shared" si="0"/>
        <v>4.4444444444444444E-3</v>
      </c>
      <c r="H6" t="s">
        <v>69</v>
      </c>
      <c r="I6" t="s">
        <v>54</v>
      </c>
      <c r="J6">
        <v>0.44</v>
      </c>
      <c r="K6">
        <v>4.4000000000000003E-3</v>
      </c>
      <c r="M6" s="1">
        <f t="shared" si="1"/>
        <v>-4.4444444444444731E-3</v>
      </c>
    </row>
    <row r="7" spans="1:13" x14ac:dyDescent="0.3">
      <c r="A7" t="s">
        <v>70</v>
      </c>
      <c r="B7" t="s">
        <v>25</v>
      </c>
      <c r="C7" s="1">
        <f>Unsicherheiten_Rel_Standard!J8</f>
        <v>0.94280904158206336</v>
      </c>
      <c r="D7" s="20">
        <f t="shared" si="0"/>
        <v>9.4280904158206332E-3</v>
      </c>
      <c r="H7" t="s">
        <v>70</v>
      </c>
      <c r="I7" t="s">
        <v>25</v>
      </c>
      <c r="J7">
        <v>0.94</v>
      </c>
      <c r="K7">
        <v>9.4000000000000004E-3</v>
      </c>
      <c r="M7" s="1">
        <f t="shared" si="1"/>
        <v>-2.8090415820634096E-3</v>
      </c>
    </row>
    <row r="8" spans="1:13" x14ac:dyDescent="0.3">
      <c r="A8" t="s">
        <v>71</v>
      </c>
      <c r="B8" t="s">
        <v>25</v>
      </c>
      <c r="C8" s="1">
        <f>Unsicherheiten_Rel_Standard!J9</f>
        <v>1.3743685418725535</v>
      </c>
      <c r="D8" s="20">
        <f t="shared" si="0"/>
        <v>1.3743685418725535E-2</v>
      </c>
      <c r="H8" t="s">
        <v>71</v>
      </c>
      <c r="I8" t="s">
        <v>25</v>
      </c>
      <c r="J8">
        <v>1.37</v>
      </c>
      <c r="K8">
        <v>1.37E-2</v>
      </c>
      <c r="M8" s="1">
        <f t="shared" si="1"/>
        <v>-4.368541872553422E-3</v>
      </c>
    </row>
    <row r="9" spans="1:13" x14ac:dyDescent="0.3">
      <c r="A9" t="s">
        <v>72</v>
      </c>
      <c r="B9" t="s">
        <v>25</v>
      </c>
      <c r="C9" s="1">
        <f>Unsicherheiten_Rel_Standard!J10</f>
        <v>1.9148542155126762</v>
      </c>
      <c r="D9" s="20">
        <f t="shared" si="0"/>
        <v>1.9148542155126763E-2</v>
      </c>
      <c r="H9" t="s">
        <v>72</v>
      </c>
      <c r="I9" t="s">
        <v>25</v>
      </c>
      <c r="J9">
        <v>1.91</v>
      </c>
      <c r="K9">
        <v>1.9099999999999999E-2</v>
      </c>
      <c r="M9" s="1">
        <f t="shared" si="1"/>
        <v>-4.8542155126762854E-3</v>
      </c>
    </row>
    <row r="10" spans="1:13" x14ac:dyDescent="0.3">
      <c r="A10" t="s">
        <v>73</v>
      </c>
      <c r="B10" t="s">
        <v>27</v>
      </c>
      <c r="C10" s="1">
        <f>Unsicherheiten_Rel_Standard!J11</f>
        <v>1</v>
      </c>
      <c r="D10" s="20">
        <f t="shared" si="0"/>
        <v>0.01</v>
      </c>
      <c r="H10" t="s">
        <v>73</v>
      </c>
      <c r="I10" t="s">
        <v>27</v>
      </c>
      <c r="J10">
        <v>1</v>
      </c>
      <c r="K10">
        <v>0.01</v>
      </c>
      <c r="M10" s="1">
        <f t="shared" si="1"/>
        <v>0</v>
      </c>
    </row>
    <row r="11" spans="1:13" x14ac:dyDescent="0.3">
      <c r="A11" t="s">
        <v>36</v>
      </c>
      <c r="B11" t="s">
        <v>75</v>
      </c>
      <c r="C11" s="1">
        <f>Unsicherheiten_Rel_Standard!J13</f>
        <v>77.5</v>
      </c>
      <c r="D11" s="20">
        <f t="shared" si="0"/>
        <v>0.77500000000000002</v>
      </c>
      <c r="H11" t="s">
        <v>36</v>
      </c>
      <c r="I11" t="s">
        <v>75</v>
      </c>
      <c r="J11">
        <v>77.5</v>
      </c>
      <c r="K11">
        <v>0.77500000000000002</v>
      </c>
      <c r="M11" s="1">
        <f t="shared" si="1"/>
        <v>0</v>
      </c>
    </row>
    <row r="12" spans="1:13" x14ac:dyDescent="0.3">
      <c r="A12" t="s">
        <v>37</v>
      </c>
      <c r="B12" t="s">
        <v>75</v>
      </c>
      <c r="C12" s="1">
        <f>Unsicherheiten_Rel_Standard!J15</f>
        <v>90.570175438596493</v>
      </c>
      <c r="D12" s="20">
        <f t="shared" si="0"/>
        <v>0.9057017543859649</v>
      </c>
      <c r="H12" t="s">
        <v>37</v>
      </c>
      <c r="I12" t="s">
        <v>75</v>
      </c>
      <c r="J12">
        <v>90.57</v>
      </c>
      <c r="K12">
        <v>0.90569999999999995</v>
      </c>
      <c r="M12" s="1">
        <f t="shared" si="1"/>
        <v>-1.7543859650004379E-4</v>
      </c>
    </row>
    <row r="13" spans="1:13" x14ac:dyDescent="0.3">
      <c r="A13" t="s">
        <v>38</v>
      </c>
      <c r="B13" t="s">
        <v>75</v>
      </c>
      <c r="C13" s="1">
        <f>Unsicherheiten_Rel_Standard!J17</f>
        <v>65.476190476190482</v>
      </c>
      <c r="D13" s="20">
        <f t="shared" si="0"/>
        <v>0.65476190476190477</v>
      </c>
      <c r="H13" t="s">
        <v>38</v>
      </c>
      <c r="I13" t="s">
        <v>75</v>
      </c>
      <c r="J13">
        <v>65.48</v>
      </c>
      <c r="K13">
        <v>0.65480000000000005</v>
      </c>
      <c r="M13" s="1">
        <f t="shared" si="1"/>
        <v>3.8095238095223749E-3</v>
      </c>
    </row>
    <row r="14" spans="1:13" x14ac:dyDescent="0.3">
      <c r="A14" t="s">
        <v>39</v>
      </c>
      <c r="B14" t="s">
        <v>75</v>
      </c>
      <c r="C14" s="1">
        <f>Unsicherheiten_Rel_Standard!J19</f>
        <v>42.46987951807229</v>
      </c>
      <c r="D14" s="20">
        <f t="shared" si="0"/>
        <v>0.4246987951807229</v>
      </c>
      <c r="H14" t="s">
        <v>39</v>
      </c>
      <c r="I14" t="s">
        <v>75</v>
      </c>
      <c r="J14">
        <v>42.47</v>
      </c>
      <c r="K14">
        <v>0.42470000000000002</v>
      </c>
      <c r="M14" s="1">
        <f t="shared" si="1"/>
        <v>1.2048192770919286E-4</v>
      </c>
    </row>
    <row r="15" spans="1:13" x14ac:dyDescent="0.3">
      <c r="A15" t="s">
        <v>40</v>
      </c>
      <c r="B15" t="s">
        <v>34</v>
      </c>
      <c r="C15" s="1">
        <f>Unsicherheiten_Rel_Standard!J21</f>
        <v>1.9384611066248074</v>
      </c>
      <c r="D15" s="20">
        <f t="shared" si="0"/>
        <v>1.9384611066248073E-2</v>
      </c>
      <c r="H15" t="s">
        <v>40</v>
      </c>
      <c r="I15" t="s">
        <v>34</v>
      </c>
      <c r="J15">
        <v>1.94</v>
      </c>
      <c r="K15">
        <v>1.9400000000000001E-2</v>
      </c>
      <c r="M15" s="1">
        <f t="shared" si="1"/>
        <v>1.5388933751925293E-3</v>
      </c>
    </row>
    <row r="16" spans="1:13" x14ac:dyDescent="0.3">
      <c r="A16" t="s">
        <v>79</v>
      </c>
      <c r="B16" t="s">
        <v>35</v>
      </c>
      <c r="C16" s="1">
        <f>Unsicherheiten_Rel_Standard!J22</f>
        <v>1.2743277257065355</v>
      </c>
      <c r="D16" s="20">
        <f t="shared" si="0"/>
        <v>1.2743277257065356E-2</v>
      </c>
      <c r="H16" t="s">
        <v>79</v>
      </c>
      <c r="I16" t="s">
        <v>35</v>
      </c>
      <c r="J16">
        <v>1.27</v>
      </c>
      <c r="K16">
        <v>1.2699999999999999E-2</v>
      </c>
      <c r="M16" s="1">
        <f t="shared" si="1"/>
        <v>-4.3277257065355013E-3</v>
      </c>
    </row>
    <row r="17" spans="1:13" x14ac:dyDescent="0.3">
      <c r="A17" t="s">
        <v>80</v>
      </c>
      <c r="B17" t="s">
        <v>76</v>
      </c>
      <c r="C17" s="1">
        <f>MAX(Unsicherheiten_Rel_Standard!J25,Unsicherheiten_Rel_Standard!J26)</f>
        <v>8.0399999999999991</v>
      </c>
      <c r="D17" s="20">
        <f t="shared" si="0"/>
        <v>8.0399999999999985E-2</v>
      </c>
      <c r="H17" t="s">
        <v>80</v>
      </c>
      <c r="I17" t="s">
        <v>76</v>
      </c>
      <c r="J17">
        <v>8.0399999999999991</v>
      </c>
      <c r="K17">
        <v>8.0399999999999999E-2</v>
      </c>
      <c r="M17" s="1">
        <f t="shared" si="1"/>
        <v>0</v>
      </c>
    </row>
    <row r="18" spans="1:13" x14ac:dyDescent="0.3">
      <c r="A18" t="s">
        <v>31</v>
      </c>
      <c r="B18" t="s">
        <v>1</v>
      </c>
      <c r="C18" s="1">
        <f>Unsicherheiten_Rel_Standard!J27</f>
        <v>0.33333333333333331</v>
      </c>
      <c r="D18" s="20">
        <f t="shared" si="0"/>
        <v>3.3333333333333331E-3</v>
      </c>
      <c r="H18" t="s">
        <v>31</v>
      </c>
      <c r="I18" t="s">
        <v>1</v>
      </c>
      <c r="J18">
        <v>0.33</v>
      </c>
      <c r="K18">
        <v>3.3E-3</v>
      </c>
      <c r="M18" s="1">
        <f t="shared" si="1"/>
        <v>-3.3333333333332993E-3</v>
      </c>
    </row>
    <row r="19" spans="1:13" x14ac:dyDescent="0.3">
      <c r="A19" t="s">
        <v>43</v>
      </c>
      <c r="B19" t="s">
        <v>35</v>
      </c>
      <c r="C19" s="1">
        <f>Unsicherheiten_Rel_Standard!J29</f>
        <v>7.19</v>
      </c>
      <c r="D19" s="20">
        <f t="shared" si="0"/>
        <v>7.1900000000000006E-2</v>
      </c>
      <c r="H19" t="s">
        <v>43</v>
      </c>
      <c r="I19" t="s">
        <v>76</v>
      </c>
      <c r="J19">
        <v>9.32</v>
      </c>
      <c r="K19">
        <v>9.3200000000000005E-2</v>
      </c>
      <c r="M19" s="1">
        <f t="shared" si="1"/>
        <v>2.13</v>
      </c>
    </row>
    <row r="20" spans="1:13" x14ac:dyDescent="0.3">
      <c r="A20" t="s">
        <v>44</v>
      </c>
      <c r="B20" t="s">
        <v>35</v>
      </c>
      <c r="C20" s="1">
        <f>Unsicherheiten_Rel_Standard!J31</f>
        <v>7.3991812037025921</v>
      </c>
      <c r="D20" s="20">
        <f t="shared" si="0"/>
        <v>7.3991812037025928E-2</v>
      </c>
      <c r="H20" t="s">
        <v>44</v>
      </c>
      <c r="I20" t="s">
        <v>76</v>
      </c>
      <c r="J20">
        <v>7.65</v>
      </c>
      <c r="K20">
        <v>7.6499999999999999E-2</v>
      </c>
      <c r="M20" s="1">
        <f t="shared" si="1"/>
        <v>0.25081879629740822</v>
      </c>
    </row>
    <row r="21" spans="1:13" x14ac:dyDescent="0.3">
      <c r="A21" t="s">
        <v>45</v>
      </c>
      <c r="B21" t="s">
        <v>35</v>
      </c>
      <c r="C21" s="1">
        <f>Unsicherheiten_Rel_Standard!J33</f>
        <v>10.037174721189592</v>
      </c>
      <c r="D21" s="20">
        <f t="shared" si="0"/>
        <v>0.10037174721189591</v>
      </c>
      <c r="H21" t="s">
        <v>45</v>
      </c>
      <c r="I21" t="s">
        <v>76</v>
      </c>
      <c r="J21">
        <v>10.220000000000001</v>
      </c>
      <c r="K21">
        <v>0.1022</v>
      </c>
      <c r="M21" s="1">
        <f t="shared" si="1"/>
        <v>0.18282527881040878</v>
      </c>
    </row>
    <row r="22" spans="1:13" x14ac:dyDescent="0.3">
      <c r="A22" t="s">
        <v>46</v>
      </c>
      <c r="B22" t="s">
        <v>35</v>
      </c>
      <c r="C22" s="1">
        <f>Unsicherheiten_Rel_Standard!J35</f>
        <v>5.5172413793103452</v>
      </c>
      <c r="D22" s="20">
        <f t="shared" si="0"/>
        <v>5.5172413793103454E-2</v>
      </c>
      <c r="H22" t="s">
        <v>46</v>
      </c>
      <c r="I22" t="s">
        <v>76</v>
      </c>
      <c r="J22">
        <v>5.85</v>
      </c>
      <c r="K22">
        <v>5.8500000000000003E-2</v>
      </c>
      <c r="M22" s="1">
        <f t="shared" si="1"/>
        <v>0.33275862068965445</v>
      </c>
    </row>
    <row r="23" spans="1:13" x14ac:dyDescent="0.3">
      <c r="A23" t="s">
        <v>78</v>
      </c>
      <c r="B23" t="s">
        <v>35</v>
      </c>
      <c r="C23" s="1">
        <f>Unsicherheiten_Rel_Standard!J37</f>
        <v>28.571428571428577</v>
      </c>
      <c r="D23" s="20">
        <f t="shared" si="0"/>
        <v>0.28571428571428575</v>
      </c>
      <c r="H23" t="s">
        <v>78</v>
      </c>
      <c r="I23" t="s">
        <v>76</v>
      </c>
      <c r="J23">
        <v>28.64</v>
      </c>
      <c r="K23">
        <v>0.28639999999999999</v>
      </c>
      <c r="M23" s="1">
        <f t="shared" si="1"/>
        <v>6.8571428571424065E-2</v>
      </c>
    </row>
    <row r="24" spans="1:13" x14ac:dyDescent="0.3">
      <c r="A24" t="s">
        <v>53</v>
      </c>
      <c r="B24" t="s">
        <v>54</v>
      </c>
      <c r="C24" s="1">
        <f>MAX(Unsicherheiten_Rel_Standard!J41,Unsicherheiten_Rel_Standard!J7,Unsicherheiten_Rel_Standard!J6)</f>
        <v>2.1536231884057973</v>
      </c>
      <c r="D24" s="20">
        <f t="shared" si="0"/>
        <v>2.1536231884057972E-2</v>
      </c>
      <c r="H24" t="s">
        <v>53</v>
      </c>
      <c r="I24" t="s">
        <v>54</v>
      </c>
      <c r="J24">
        <v>2.15</v>
      </c>
      <c r="K24">
        <v>2.1499999999999998E-2</v>
      </c>
      <c r="M24" s="1">
        <f t="shared" si="1"/>
        <v>-3.6231884057973396E-3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O6" sqref="O6"/>
    </sheetView>
  </sheetViews>
  <sheetFormatPr baseColWidth="10" defaultColWidth="9.109375" defaultRowHeight="14.4" x14ac:dyDescent="0.3"/>
  <cols>
    <col min="1" max="1" width="10.88671875" bestFit="1" customWidth="1"/>
    <col min="2" max="2" width="11.44140625" bestFit="1" customWidth="1"/>
    <col min="3" max="3" width="6.33203125" bestFit="1" customWidth="1"/>
    <col min="4" max="4" width="7" bestFit="1" customWidth="1"/>
    <col min="5" max="5" width="6.6640625" bestFit="1" customWidth="1"/>
    <col min="6" max="9" width="5.5546875" bestFit="1" customWidth="1"/>
    <col min="10" max="11" width="4.5546875" bestFit="1" customWidth="1"/>
    <col min="12" max="12" width="5.5546875" bestFit="1" customWidth="1"/>
    <col min="13" max="13" width="4.5546875" bestFit="1" customWidth="1"/>
    <col min="14" max="14" width="5.5546875" bestFit="1" customWidth="1"/>
    <col min="15" max="16" width="4.5546875" bestFit="1" customWidth="1"/>
    <col min="17" max="19" width="4.6640625" bestFit="1" customWidth="1"/>
  </cols>
  <sheetData>
    <row r="1" spans="1:19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36</v>
      </c>
      <c r="G1" t="s">
        <v>37</v>
      </c>
      <c r="H1" t="s">
        <v>38</v>
      </c>
      <c r="I1" t="s">
        <v>39</v>
      </c>
      <c r="J1" t="s">
        <v>43</v>
      </c>
      <c r="K1" t="s">
        <v>44</v>
      </c>
      <c r="L1" t="s">
        <v>45</v>
      </c>
      <c r="M1" t="s">
        <v>46</v>
      </c>
      <c r="N1" t="s">
        <v>78</v>
      </c>
      <c r="O1" t="s">
        <v>89</v>
      </c>
      <c r="P1" t="s">
        <v>116</v>
      </c>
      <c r="Q1" t="s">
        <v>117</v>
      </c>
      <c r="R1" t="s">
        <v>117</v>
      </c>
    </row>
    <row r="2" spans="1:19" x14ac:dyDescent="0.3">
      <c r="A2" s="1">
        <v>25.402298850574713</v>
      </c>
      <c r="B2" s="1">
        <v>8.0399999999999991</v>
      </c>
      <c r="C2" s="1">
        <v>1.2743277257065355</v>
      </c>
      <c r="D2" s="1">
        <v>2.3704298915226998</v>
      </c>
      <c r="E2" s="1">
        <v>1.9384611066248074</v>
      </c>
      <c r="F2" s="1">
        <v>77.5</v>
      </c>
      <c r="G2" s="1">
        <v>90.570175438596493</v>
      </c>
      <c r="H2" s="1">
        <v>65.476190476190482</v>
      </c>
      <c r="I2" s="1">
        <v>42.46987951807229</v>
      </c>
      <c r="J2" s="1">
        <v>7.19</v>
      </c>
      <c r="K2" s="1">
        <v>7.3991812037025921</v>
      </c>
      <c r="L2" s="1">
        <v>10.037174721189592</v>
      </c>
      <c r="M2" s="1">
        <v>5.5172413793103452</v>
      </c>
      <c r="N2" s="1">
        <v>28.571428571428577</v>
      </c>
      <c r="O2" s="1">
        <v>2.1536231884057973</v>
      </c>
      <c r="P2" s="1">
        <v>5.3973509933774828</v>
      </c>
      <c r="Q2" s="1">
        <v>5.8807439824945291</v>
      </c>
      <c r="R2" s="1">
        <v>5.8807439824945291</v>
      </c>
      <c r="S2" s="1"/>
    </row>
    <row r="3" spans="1:19" x14ac:dyDescent="0.3">
      <c r="A3" t="s">
        <v>34</v>
      </c>
      <c r="B3" t="s">
        <v>75</v>
      </c>
      <c r="C3" t="s">
        <v>35</v>
      </c>
      <c r="D3" t="s">
        <v>34</v>
      </c>
      <c r="E3" t="s">
        <v>34</v>
      </c>
      <c r="F3" t="s">
        <v>75</v>
      </c>
      <c r="G3" t="s">
        <v>75</v>
      </c>
      <c r="H3" t="s">
        <v>75</v>
      </c>
      <c r="I3" t="s">
        <v>75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90</v>
      </c>
      <c r="P3" t="s">
        <v>35</v>
      </c>
      <c r="Q3" t="s">
        <v>35</v>
      </c>
      <c r="R3" t="s">
        <v>35</v>
      </c>
    </row>
    <row r="4" spans="1:19" x14ac:dyDescent="0.3">
      <c r="A4" s="2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EDCC-C6E5-41D5-9C73-C3EB396D3082}">
  <dimension ref="A1:J26"/>
  <sheetViews>
    <sheetView workbookViewId="0">
      <selection activeCell="E9" sqref="E9"/>
    </sheetView>
  </sheetViews>
  <sheetFormatPr baseColWidth="10" defaultRowHeight="14.4" x14ac:dyDescent="0.3"/>
  <cols>
    <col min="1" max="1" width="42.5546875" customWidth="1"/>
    <col min="2" max="2" width="5.6640625" customWidth="1"/>
    <col min="3" max="3" width="8.6640625" customWidth="1"/>
    <col min="4" max="4" width="6.6640625" customWidth="1"/>
    <col min="5" max="5" width="7.6640625" customWidth="1"/>
    <col min="6" max="6" width="7.88671875" customWidth="1"/>
    <col min="7" max="7" width="8.6640625" customWidth="1"/>
    <col min="8" max="8" width="7.6640625" customWidth="1"/>
    <col min="9" max="9" width="4.6640625" customWidth="1"/>
    <col min="10" max="10" width="13.109375" customWidth="1"/>
  </cols>
  <sheetData>
    <row r="1" spans="1:10" x14ac:dyDescent="0.3">
      <c r="A1" t="s">
        <v>141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3">
      <c r="A2" t="s">
        <v>89</v>
      </c>
      <c r="B2" s="1">
        <v>27.631223957682256</v>
      </c>
      <c r="C2" s="1">
        <v>6.9158539925303497</v>
      </c>
      <c r="D2" s="1">
        <v>5.3554096347200115</v>
      </c>
      <c r="E2" s="1">
        <v>5.7466932842431104</v>
      </c>
      <c r="F2" s="1">
        <v>5.634157898565495</v>
      </c>
      <c r="G2" s="1">
        <v>1.5604443578103397</v>
      </c>
      <c r="H2" s="1">
        <v>0.40108133816012015</v>
      </c>
      <c r="I2" s="1">
        <v>8.1218346592068502E-2</v>
      </c>
      <c r="J2" t="s">
        <v>90</v>
      </c>
    </row>
    <row r="3" spans="1:10" x14ac:dyDescent="0.3">
      <c r="A3" t="s">
        <v>40</v>
      </c>
      <c r="B3" s="1">
        <v>27.631223957682256</v>
      </c>
      <c r="C3" s="1">
        <v>21.573707644080169</v>
      </c>
      <c r="D3" s="1">
        <v>15.21817674409089</v>
      </c>
      <c r="E3" s="1">
        <v>18.863241768394538</v>
      </c>
      <c r="F3" s="1">
        <v>19.301692434287638</v>
      </c>
      <c r="G3" s="1">
        <v>6.3555308999892812</v>
      </c>
      <c r="H3" s="1">
        <v>1.9318278899449668</v>
      </c>
      <c r="I3" s="1">
        <v>0.10005662328760179</v>
      </c>
      <c r="J3" t="s">
        <v>166</v>
      </c>
    </row>
    <row r="4" spans="1:10" x14ac:dyDescent="0.3">
      <c r="A4" t="s">
        <v>2</v>
      </c>
      <c r="B4" s="1">
        <v>27.631223957682256</v>
      </c>
      <c r="C4" s="1">
        <v>87.178475631267546</v>
      </c>
      <c r="D4" s="1">
        <v>83.174219530955313</v>
      </c>
      <c r="E4" s="1">
        <v>84.972463197079122</v>
      </c>
      <c r="F4" s="1">
        <v>85.005596522733754</v>
      </c>
      <c r="G4" s="1">
        <v>4.0042561003122312</v>
      </c>
      <c r="H4" s="1">
        <v>1.0194119123258116</v>
      </c>
      <c r="I4" s="1">
        <v>1.2723064911814453E-2</v>
      </c>
      <c r="J4" t="s">
        <v>35</v>
      </c>
    </row>
    <row r="5" spans="1:10" x14ac:dyDescent="0.3">
      <c r="A5" t="s">
        <v>142</v>
      </c>
      <c r="B5" s="1">
        <v>27.631223957682256</v>
      </c>
      <c r="C5" s="1"/>
      <c r="D5" s="1"/>
      <c r="E5" s="1"/>
      <c r="F5" s="1"/>
      <c r="G5" s="1"/>
      <c r="H5" s="1"/>
      <c r="I5" s="1"/>
      <c r="J5" t="s">
        <v>76</v>
      </c>
    </row>
    <row r="6" spans="1:10" x14ac:dyDescent="0.3">
      <c r="A6" t="s">
        <v>143</v>
      </c>
      <c r="B6" s="1">
        <v>27.631223957682256</v>
      </c>
      <c r="C6" s="1"/>
      <c r="D6" s="1"/>
      <c r="E6" s="1"/>
      <c r="F6" s="1"/>
      <c r="G6" s="1"/>
      <c r="H6" s="1"/>
      <c r="I6" s="1"/>
      <c r="J6" t="s">
        <v>167</v>
      </c>
    </row>
    <row r="7" spans="1:10" x14ac:dyDescent="0.3">
      <c r="A7" t="s">
        <v>144</v>
      </c>
      <c r="B7" s="1">
        <v>27.631223957682256</v>
      </c>
      <c r="C7" s="1">
        <v>1.49911128437932</v>
      </c>
      <c r="D7" s="1">
        <v>0.59180321157333693</v>
      </c>
      <c r="E7" s="1">
        <v>1.0206580383376722</v>
      </c>
      <c r="F7" s="1">
        <v>1.0154572479763284</v>
      </c>
      <c r="G7" s="1">
        <v>0.90730807280598313</v>
      </c>
      <c r="H7" s="1">
        <v>0.23039997764535608</v>
      </c>
      <c r="I7" s="1">
        <v>0.32611272309739908</v>
      </c>
      <c r="J7" t="s">
        <v>76</v>
      </c>
    </row>
    <row r="8" spans="1:10" x14ac:dyDescent="0.3">
      <c r="A8" t="s">
        <v>145</v>
      </c>
      <c r="B8" s="1">
        <v>27.631223957682256</v>
      </c>
      <c r="C8" s="1">
        <v>32572.059041189284</v>
      </c>
      <c r="D8" s="1">
        <v>590.800861950956</v>
      </c>
      <c r="E8" s="1">
        <v>5816.4561949788003</v>
      </c>
      <c r="F8" s="1">
        <v>5313.8213085205725</v>
      </c>
      <c r="G8" s="1">
        <v>31981.258179238328</v>
      </c>
      <c r="H8" s="1">
        <v>6336.1468723866192</v>
      </c>
      <c r="I8" s="1">
        <v>1.0969708163699496</v>
      </c>
      <c r="J8" t="s">
        <v>76</v>
      </c>
    </row>
    <row r="9" spans="1:10" x14ac:dyDescent="0.3">
      <c r="A9" t="s">
        <v>146</v>
      </c>
      <c r="B9" s="1">
        <v>27.631223957682256</v>
      </c>
      <c r="C9" s="1">
        <v>2593.9681192625799</v>
      </c>
      <c r="D9" s="1">
        <v>41.024360242686612</v>
      </c>
      <c r="E9" s="1">
        <v>1008.7563188720335</v>
      </c>
      <c r="F9" s="1">
        <v>963.0358910593086</v>
      </c>
      <c r="G9" s="1">
        <v>2552.9437590198932</v>
      </c>
      <c r="H9" s="1">
        <v>691.1135267619386</v>
      </c>
      <c r="I9" s="1">
        <v>0.69067606842619023</v>
      </c>
      <c r="J9" t="s">
        <v>75</v>
      </c>
    </row>
    <row r="10" spans="1:10" x14ac:dyDescent="0.3">
      <c r="A10" t="s">
        <v>147</v>
      </c>
      <c r="B10" s="1">
        <v>27.631223957682256</v>
      </c>
      <c r="C10" s="1">
        <v>168.27722342695631</v>
      </c>
      <c r="D10" s="1">
        <v>124.13130821795626</v>
      </c>
      <c r="E10" s="1">
        <v>149.67209148147754</v>
      </c>
      <c r="F10" s="1">
        <v>148.11136724078472</v>
      </c>
      <c r="G10" s="1">
        <v>44.145915209000073</v>
      </c>
      <c r="H10" s="1">
        <v>11.478615381859031</v>
      </c>
      <c r="I10" s="1">
        <v>0.11245819620083512</v>
      </c>
      <c r="J10" t="s">
        <v>168</v>
      </c>
    </row>
    <row r="11" spans="1:10" x14ac:dyDescent="0.3">
      <c r="A11" t="s">
        <v>148</v>
      </c>
      <c r="B11" s="1">
        <v>27.631223957682256</v>
      </c>
      <c r="C11" s="1">
        <v>134.85266954330962</v>
      </c>
      <c r="D11" s="1">
        <v>96.20139460636949</v>
      </c>
      <c r="E11" s="1">
        <v>114.86148447186599</v>
      </c>
      <c r="F11" s="1">
        <v>112.68838130118547</v>
      </c>
      <c r="G11" s="1">
        <v>38.651274936940119</v>
      </c>
      <c r="H11" s="1">
        <v>10.519185743936532</v>
      </c>
      <c r="I11" s="1">
        <v>9.5331481765485199E-2</v>
      </c>
      <c r="J11" t="s">
        <v>168</v>
      </c>
    </row>
    <row r="12" spans="1:10" x14ac:dyDescent="0.3">
      <c r="A12" t="s">
        <v>149</v>
      </c>
      <c r="B12" s="1">
        <v>27.631223957682256</v>
      </c>
      <c r="C12" s="1">
        <v>84.243250156641835</v>
      </c>
      <c r="D12" s="1">
        <v>18.303894679382257</v>
      </c>
      <c r="E12" s="1">
        <v>47.049765301959745</v>
      </c>
      <c r="F12" s="1">
        <v>47.125562074588942</v>
      </c>
      <c r="G12" s="1">
        <v>65.939355477259568</v>
      </c>
      <c r="H12" s="1">
        <v>14.257181272520196</v>
      </c>
      <c r="I12" s="1">
        <v>0.30229501671483117</v>
      </c>
      <c r="J12" t="s">
        <v>168</v>
      </c>
    </row>
    <row r="13" spans="1:10" x14ac:dyDescent="0.3">
      <c r="A13" t="s">
        <v>150</v>
      </c>
      <c r="B13" s="1">
        <v>27.631223957682256</v>
      </c>
      <c r="C13" s="1">
        <v>257.5531097581304</v>
      </c>
      <c r="D13" s="1">
        <v>168.0267092140752</v>
      </c>
      <c r="E13" s="1">
        <v>210.84229357084735</v>
      </c>
      <c r="F13" s="1">
        <v>212.7021505299295</v>
      </c>
      <c r="G13" s="1">
        <v>89.526400544055164</v>
      </c>
      <c r="H13" s="1">
        <v>21.20085468909771</v>
      </c>
      <c r="I13" s="1">
        <v>0.10059020507869035</v>
      </c>
      <c r="J13" t="s">
        <v>168</v>
      </c>
    </row>
    <row r="14" spans="1:10" x14ac:dyDescent="0.3">
      <c r="A14" t="s">
        <v>137</v>
      </c>
      <c r="B14" s="1">
        <v>27.631223957682256</v>
      </c>
      <c r="C14" s="1">
        <v>529.78184968419373</v>
      </c>
      <c r="D14" s="1">
        <v>265.5056645931478</v>
      </c>
      <c r="E14" s="1">
        <v>469.81286825232337</v>
      </c>
      <c r="F14" s="1">
        <v>481.68038555667823</v>
      </c>
      <c r="G14" s="1">
        <v>264.27618509104593</v>
      </c>
      <c r="H14" s="1">
        <v>53.774103369175769</v>
      </c>
      <c r="I14" s="1">
        <v>0.14384675750094525</v>
      </c>
      <c r="J14" t="s">
        <v>168</v>
      </c>
    </row>
    <row r="15" spans="1:10" x14ac:dyDescent="0.3">
      <c r="A15" t="s">
        <v>151</v>
      </c>
      <c r="B15" s="1">
        <v>27.631223957682256</v>
      </c>
      <c r="C15" s="1">
        <v>393.13417113327523</v>
      </c>
      <c r="D15" s="1">
        <v>163.85298648654725</v>
      </c>
      <c r="E15" s="1">
        <v>238.19201270004697</v>
      </c>
      <c r="F15" s="1">
        <v>240.13286781468025</v>
      </c>
      <c r="G15" s="1">
        <v>229.28118464672801</v>
      </c>
      <c r="H15" s="1">
        <v>52.864900259830151</v>
      </c>
      <c r="I15" s="1">
        <v>0.38011954518382252</v>
      </c>
      <c r="J15" t="s">
        <v>168</v>
      </c>
    </row>
    <row r="16" spans="1:10" x14ac:dyDescent="0.3">
      <c r="A16" t="s">
        <v>118</v>
      </c>
      <c r="B16" s="1">
        <v>27.631223957682256</v>
      </c>
      <c r="C16" s="1">
        <v>307.60616653801162</v>
      </c>
      <c r="D16" s="1">
        <v>122.15105505187123</v>
      </c>
      <c r="E16" s="1">
        <v>238.01525757860631</v>
      </c>
      <c r="F16" s="1">
        <v>238.82230747312673</v>
      </c>
      <c r="G16" s="1">
        <v>185.45511148614037</v>
      </c>
      <c r="H16" s="1">
        <v>39.668618675603568</v>
      </c>
      <c r="I16" s="1">
        <v>0.16639427881335789</v>
      </c>
      <c r="J16" t="s">
        <v>168</v>
      </c>
    </row>
    <row r="17" spans="1:10" x14ac:dyDescent="0.3">
      <c r="A17" t="s">
        <v>115</v>
      </c>
      <c r="B17" s="1">
        <v>27.631223957682256</v>
      </c>
      <c r="C17" s="1">
        <v>164.21471294081937</v>
      </c>
      <c r="D17" s="1">
        <v>74.649162245320099</v>
      </c>
      <c r="E17" s="1">
        <v>115.37335731099743</v>
      </c>
      <c r="F17" s="1">
        <v>113.56657125123881</v>
      </c>
      <c r="G17" s="1">
        <v>89.565550695499255</v>
      </c>
      <c r="H17" s="1">
        <v>20.780996444689549</v>
      </c>
      <c r="I17" s="1">
        <v>0.23550038186771854</v>
      </c>
      <c r="J17" t="s">
        <v>168</v>
      </c>
    </row>
    <row r="18" spans="1:10" x14ac:dyDescent="0.3">
      <c r="A18" t="s">
        <v>136</v>
      </c>
      <c r="B18" s="1">
        <v>27.631223957682256</v>
      </c>
      <c r="C18" s="1">
        <v>193.07869480988688</v>
      </c>
      <c r="D18" s="1">
        <v>43.949413889240148</v>
      </c>
      <c r="E18" s="1">
        <v>104.82844498873357</v>
      </c>
      <c r="F18" s="1">
        <v>105.58929783998957</v>
      </c>
      <c r="G18" s="1">
        <v>149.12928092064675</v>
      </c>
      <c r="H18" s="1">
        <v>39.478708216839408</v>
      </c>
      <c r="I18" s="1">
        <v>0.45346635576934441</v>
      </c>
      <c r="J18" t="s">
        <v>168</v>
      </c>
    </row>
    <row r="19" spans="1:10" x14ac:dyDescent="0.3">
      <c r="A19" t="s">
        <v>117</v>
      </c>
      <c r="B19" s="1">
        <v>27.631223957682256</v>
      </c>
      <c r="C19" s="1">
        <v>498.18474750436087</v>
      </c>
      <c r="D19" s="1">
        <v>195.36268073845847</v>
      </c>
      <c r="E19" s="1">
        <v>443.09776172979434</v>
      </c>
      <c r="F19" s="1">
        <v>446.89440601883081</v>
      </c>
      <c r="G19" s="1">
        <v>302.82206676590243</v>
      </c>
      <c r="H19" s="1">
        <v>67.058747782982749</v>
      </c>
      <c r="I19" s="1">
        <v>0.15050709380254979</v>
      </c>
      <c r="J19" t="s">
        <v>168</v>
      </c>
    </row>
    <row r="20" spans="1:10" x14ac:dyDescent="0.3">
      <c r="A20" t="s">
        <v>116</v>
      </c>
      <c r="B20" s="1">
        <v>27.631223957682256</v>
      </c>
      <c r="C20" s="1">
        <v>447.21323653716547</v>
      </c>
      <c r="D20" s="1">
        <v>289.93173808449268</v>
      </c>
      <c r="E20" s="1">
        <v>357.05188176459114</v>
      </c>
      <c r="F20" s="1">
        <v>350.94979299479348</v>
      </c>
      <c r="G20" s="1">
        <v>157.28149845267276</v>
      </c>
      <c r="H20" s="1">
        <v>44.665495462280958</v>
      </c>
      <c r="I20" s="1">
        <v>0.13306391100612164</v>
      </c>
      <c r="J20" t="s">
        <v>168</v>
      </c>
    </row>
    <row r="21" spans="1:10" x14ac:dyDescent="0.3">
      <c r="A21" t="s">
        <v>129</v>
      </c>
      <c r="B21" s="1">
        <v>27.631223957682256</v>
      </c>
      <c r="C21" s="1">
        <v>30.804273168780249</v>
      </c>
      <c r="D21" s="1">
        <v>23.425688738344146</v>
      </c>
      <c r="E21" s="1">
        <v>27.470431715156316</v>
      </c>
      <c r="F21" s="1">
        <v>27.631690511825703</v>
      </c>
      <c r="G21" s="1">
        <v>7.378584430436101</v>
      </c>
      <c r="H21" s="1">
        <v>2.037294824159976</v>
      </c>
      <c r="I21" s="1">
        <v>8.4673260644965193E-2</v>
      </c>
      <c r="J21" t="s">
        <v>168</v>
      </c>
    </row>
    <row r="22" spans="1:10" x14ac:dyDescent="0.3">
      <c r="A22" t="s">
        <v>152</v>
      </c>
      <c r="B22" s="1">
        <v>27.631223957682256</v>
      </c>
      <c r="C22" s="1">
        <v>1180.1570150417056</v>
      </c>
      <c r="D22" s="1">
        <v>23.904628767918492</v>
      </c>
      <c r="E22" s="1">
        <v>360.39552083929959</v>
      </c>
      <c r="F22" s="1">
        <v>304.14787714050385</v>
      </c>
      <c r="G22" s="1">
        <v>1156.2523862737871</v>
      </c>
      <c r="H22" s="1">
        <v>337.09478877755174</v>
      </c>
      <c r="I22" s="1">
        <v>0.90581354070350439</v>
      </c>
      <c r="J22" t="s">
        <v>75</v>
      </c>
    </row>
    <row r="23" spans="1:10" x14ac:dyDescent="0.3">
      <c r="A23" t="s">
        <v>153</v>
      </c>
      <c r="B23" s="1">
        <v>27.631223957682256</v>
      </c>
      <c r="C23" s="1">
        <v>240.39242850226256</v>
      </c>
      <c r="D23" s="1">
        <v>10.149487560684486</v>
      </c>
      <c r="E23" s="1">
        <v>101.68170483906698</v>
      </c>
      <c r="F23" s="1">
        <v>105.26611759477923</v>
      </c>
      <c r="G23" s="1">
        <v>230.24294094157807</v>
      </c>
      <c r="H23" s="1">
        <v>68.437984773655813</v>
      </c>
      <c r="I23" s="1">
        <v>0.70825930295295403</v>
      </c>
      <c r="J23" t="s">
        <v>75</v>
      </c>
    </row>
    <row r="24" spans="1:10" x14ac:dyDescent="0.3">
      <c r="A24" t="s">
        <v>154</v>
      </c>
      <c r="B24" s="1">
        <v>27.631223957682256</v>
      </c>
      <c r="C24" s="1">
        <v>729.97986074175185</v>
      </c>
      <c r="D24" s="1">
        <v>643.25977724201744</v>
      </c>
      <c r="E24" s="1">
        <v>687.95567821068562</v>
      </c>
      <c r="F24" s="1">
        <v>692.68370584480499</v>
      </c>
      <c r="G24" s="1">
        <v>86.720083499734358</v>
      </c>
      <c r="H24" s="1">
        <v>21.773614373696528</v>
      </c>
      <c r="I24" s="1">
        <v>3.5254198409645957E-2</v>
      </c>
      <c r="J24" t="s">
        <v>168</v>
      </c>
    </row>
    <row r="25" spans="1:10" x14ac:dyDescent="0.3">
      <c r="A25" t="s">
        <v>155</v>
      </c>
      <c r="B25" s="1">
        <v>27.631223957682256</v>
      </c>
      <c r="C25" s="1">
        <v>619.40405483977872</v>
      </c>
      <c r="D25" s="1">
        <v>484.81680073188988</v>
      </c>
      <c r="E25" s="1">
        <v>572.39125034749668</v>
      </c>
      <c r="F25" s="1">
        <v>579.33687633607872</v>
      </c>
      <c r="G25" s="1">
        <v>134.58725410788884</v>
      </c>
      <c r="H25" s="1">
        <v>35.10759064429952</v>
      </c>
      <c r="I25" s="1">
        <v>7.7502960240848975E-2</v>
      </c>
      <c r="J25" t="s">
        <v>168</v>
      </c>
    </row>
    <row r="26" spans="1:10" x14ac:dyDescent="0.3">
      <c r="A26" t="s">
        <v>156</v>
      </c>
      <c r="B26" s="1">
        <v>27.631223957682256</v>
      </c>
      <c r="C26" s="1">
        <v>847.81823255909126</v>
      </c>
      <c r="D26" s="1">
        <v>784.26292355919827</v>
      </c>
      <c r="E26" s="1">
        <v>811.36758231605472</v>
      </c>
      <c r="F26" s="1">
        <v>806.98307565712378</v>
      </c>
      <c r="G26" s="1">
        <v>63.555308999892851</v>
      </c>
      <c r="H26" s="1">
        <v>19.31827889944968</v>
      </c>
      <c r="I26" s="1">
        <v>2.613267020052738E-2</v>
      </c>
      <c r="J26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Dokumentation</vt:lpstr>
      <vt:lpstr>Unsicherheiten_Rel_Standard</vt:lpstr>
      <vt:lpstr>Matlab_Tabelle</vt:lpstr>
      <vt:lpstr>Matlab_Auswertung_Ringversuche</vt:lpstr>
      <vt:lpstr>mean_feed_values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2022-03-07T13:48:14Z</dcterms:created>
  <dcterms:modified xsi:type="dcterms:W3CDTF">2024-12-31T11:52:53Z</dcterms:modified>
</cp:coreProperties>
</file>