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ia\Documents\pwr\semestr VI\PSSB\projekt\"/>
    </mc:Choice>
  </mc:AlternateContent>
  <xr:revisionPtr revIDLastSave="0" documentId="13_ncr:1_{EA7ED641-C621-4D14-A08F-D2894E3B1C2C}" xr6:coauthVersionLast="47" xr6:coauthVersionMax="47" xr10:uidLastSave="{00000000-0000-0000-0000-000000000000}"/>
  <bookViews>
    <workbookView xWindow="3876" yWindow="3336" windowWidth="17280" windowHeight="8964" xr2:uid="{D0BF03C3-CB74-4028-851D-F9E5016C4CE2}"/>
  </bookViews>
  <sheets>
    <sheet name="calculator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F4" i="2" s="1"/>
  <c r="C4" i="2"/>
  <c r="E4" i="2" s="1"/>
  <c r="B4" i="2"/>
  <c r="A4" i="2"/>
  <c r="T18" i="2"/>
  <c r="T16" i="2"/>
  <c r="T13" i="2"/>
  <c r="T7" i="2" s="1"/>
  <c r="O10" i="1" s="1"/>
  <c r="T11" i="2"/>
  <c r="T5" i="2" s="1"/>
  <c r="L11" i="1" s="1"/>
  <c r="J6" i="2" l="1"/>
  <c r="O12" i="1"/>
  <c r="L5" i="1"/>
  <c r="L7" i="1"/>
  <c r="O5" i="1"/>
  <c r="L6" i="1"/>
  <c r="O11" i="1"/>
  <c r="P41" i="2"/>
  <c r="O6" i="1"/>
  <c r="L12" i="1"/>
  <c r="H4" i="2"/>
  <c r="L22" i="2" s="1"/>
  <c r="O7" i="1"/>
  <c r="L10" i="1"/>
  <c r="G7" i="2"/>
  <c r="G4" i="2"/>
  <c r="P17" i="2" l="1"/>
  <c r="P21" i="2"/>
  <c r="L28" i="2"/>
  <c r="P23" i="2"/>
  <c r="L16" i="2"/>
  <c r="P19" i="2"/>
  <c r="L18" i="2"/>
  <c r="L20" i="2"/>
  <c r="J4" i="2"/>
  <c r="L32" i="2"/>
  <c r="L26" i="2"/>
  <c r="P33" i="2"/>
  <c r="P31" i="2"/>
  <c r="P29" i="2"/>
  <c r="L30" i="2"/>
  <c r="P35" i="2"/>
  <c r="L11" i="2" l="1"/>
  <c r="L5" i="2" s="1"/>
  <c r="P25" i="2"/>
  <c r="R17" i="2" s="1"/>
  <c r="R11" i="2" s="1"/>
  <c r="R5" i="2" s="1"/>
  <c r="P37" i="2"/>
  <c r="L13" i="2"/>
  <c r="N13" i="2" s="1"/>
  <c r="N7" i="2" s="1"/>
  <c r="M11" i="2" l="1"/>
  <c r="M5" i="2" s="1"/>
  <c r="N11" i="2"/>
  <c r="N5" i="2" s="1"/>
  <c r="J7" i="1" s="1"/>
  <c r="M13" i="2"/>
  <c r="M7" i="2" s="1"/>
  <c r="L7" i="2"/>
  <c r="P11" i="2"/>
  <c r="P5" i="2" s="1"/>
  <c r="M5" i="1" s="1"/>
  <c r="Q17" i="2"/>
  <c r="Q11" i="2" s="1"/>
  <c r="Q5" i="2" s="1"/>
  <c r="J5" i="1"/>
  <c r="Q21" i="2"/>
  <c r="Q13" i="2" s="1"/>
  <c r="P13" i="2"/>
  <c r="P7" i="2" s="1"/>
  <c r="R21" i="2"/>
  <c r="R13" i="2" s="1"/>
  <c r="M10" i="1" l="1"/>
  <c r="M7" i="1"/>
  <c r="M6" i="1"/>
  <c r="J6" i="1"/>
  <c r="J10" i="1"/>
  <c r="R7" i="2"/>
  <c r="Q7" i="2"/>
  <c r="M11" i="1" l="1"/>
  <c r="J11" i="1"/>
  <c r="M12" i="1"/>
  <c r="J12" i="1"/>
</calcChain>
</file>

<file path=xl/sharedStrings.xml><?xml version="1.0" encoding="utf-8"?>
<sst xmlns="http://schemas.openxmlformats.org/spreadsheetml/2006/main" count="117" uniqueCount="60">
  <si>
    <t>Częstotliwość [MHz]</t>
  </si>
  <si>
    <t>Odległość [km]</t>
  </si>
  <si>
    <t>Wysokość zawieszenia nadajnika [m]</t>
  </si>
  <si>
    <t>Wysokość zawieszenia odbiornika [m]</t>
  </si>
  <si>
    <t>Parametry początkowe:</t>
  </si>
  <si>
    <t>miejskie</t>
  </si>
  <si>
    <t>podmiejskie</t>
  </si>
  <si>
    <t>wiejskie</t>
  </si>
  <si>
    <t>a</t>
  </si>
  <si>
    <t>b</t>
  </si>
  <si>
    <t>Urban</t>
  </si>
  <si>
    <t>L [dB]</t>
  </si>
  <si>
    <t>Suburban</t>
  </si>
  <si>
    <t>30 MHz &lt; f ≤ 150 MHz</t>
  </si>
  <si>
    <t>150 MHz &lt; f ≤ 1 500 MHz</t>
  </si>
  <si>
    <t>1 500 MHz &lt; f ≤ 2 000 MHz</t>
  </si>
  <si>
    <t>2 000 MHz &lt; f ≤ 3 000 MHz</t>
  </si>
  <si>
    <t>short range devices</t>
  </si>
  <si>
    <t>Rural (open area)</t>
  </si>
  <si>
    <t>σ [dB]</t>
  </si>
  <si>
    <t>propagacja nad dachem</t>
  </si>
  <si>
    <t>propagacja pod dachem</t>
  </si>
  <si>
    <t>±</t>
  </si>
  <si>
    <t>Propagacja powyżej poziomu dachów</t>
  </si>
  <si>
    <t>Propagacja poniżej poziomu dachów</t>
  </si>
  <si>
    <t>30MHz&lt;f≤3000MHz</t>
  </si>
  <si>
    <t>d≤100km</t>
  </si>
  <si>
    <t>L[dB]</t>
  </si>
  <si>
    <t>dla d=0,1km</t>
  </si>
  <si>
    <t>Hm[m]</t>
  </si>
  <si>
    <t>Hb[m]</t>
  </si>
  <si>
    <t>free space loss[dB]</t>
  </si>
  <si>
    <t>Median path loss[dB]</t>
  </si>
  <si>
    <t>d&lt;=0,04km (case 1)</t>
  </si>
  <si>
    <t>d&gt;=0,1km (case 2)</t>
  </si>
  <si>
    <t>0,04km&lt;d&lt;0,1km (case 3)</t>
  </si>
  <si>
    <t>f[MHz]</t>
  </si>
  <si>
    <t>d[km]</t>
  </si>
  <si>
    <t>b (short range devices)</t>
  </si>
  <si>
    <t>α</t>
  </si>
  <si>
    <t>Parametry</t>
  </si>
  <si>
    <t xml:space="preserve">dla d=0,1km </t>
  </si>
  <si>
    <t>Rural</t>
  </si>
  <si>
    <t xml:space="preserve">dla d=0,04km </t>
  </si>
  <si>
    <t>MPL[dB]</t>
  </si>
  <si>
    <t>Środowisko:</t>
  </si>
  <si>
    <t>0,04 km &lt; d ≤ 0,1 km</t>
  </si>
  <si>
    <t>0,2 km &lt; d ≤ 0,6 km</t>
  </si>
  <si>
    <t>Ograniczenia:</t>
  </si>
  <si>
    <t>Tłumienie propagacyjne [dB]</t>
  </si>
  <si>
    <t>h1≤200m</t>
  </si>
  <si>
    <t>h2≤200m</t>
  </si>
  <si>
    <t>Dla dystansu d≤0,04km nie ma rozróżnienia na środowisko, dlatego wyliczone tłumienie będzie takie samo dla każdego rodzaju środowiska.</t>
  </si>
  <si>
    <t>Dodatkowe uwagi:</t>
  </si>
  <si>
    <t>Przypadek szczególny dla urządzeń krótkozasięgowych oraz niskiej wysokości nadajnika:</t>
  </si>
  <si>
    <t>Jeżeli wyliczone straty propagacyjne mają mniejszą wartość niż tłumienie wolnej przestrzeni, wynik końcowy uznawany jest jako tłumienie wolnej przestrzeni.</t>
  </si>
  <si>
    <t>W przypadku przekroczenia ograniczeń dla parametrów początkowych, wyliczone straty propagacyjne mogą być błęne.</t>
  </si>
  <si>
    <t>Kalkulator obliczający straty propagacyjne za pomocą Zmodyfikowanego Modelu Hata</t>
  </si>
  <si>
    <t>Jeżeli podana wysokość zawieszenia nadajnika lub odbiornika jest mniejsza niż 1m, w obliczeniach brana jest pod uwage wartość 1m.</t>
  </si>
  <si>
    <t>Dla dystansu d≤0,04km nie jest uwzględniony przypadek szczególny dla urządzeń krótkozasięgowych, dlatego wartości w obu tabelach będą takie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</si>
</sst>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8" borderId="1" xfId="0" applyFill="1" applyBorder="1"/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9" borderId="0" xfId="0" applyFont="1" applyFill="1"/>
    <xf numFmtId="0" fontId="0" fillId="6" borderId="2" xfId="0" applyFill="1" applyBorder="1"/>
    <xf numFmtId="164" fontId="0" fillId="5" borderId="2" xfId="0" applyNumberFormat="1" applyFill="1" applyBorder="1"/>
    <xf numFmtId="0" fontId="2" fillId="5" borderId="3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left"/>
    </xf>
    <xf numFmtId="0" fontId="1" fillId="5" borderId="3" xfId="0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left"/>
    </xf>
    <xf numFmtId="0" fontId="2" fillId="5" borderId="3" xfId="0" applyFont="1" applyFill="1" applyBorder="1"/>
    <xf numFmtId="164" fontId="0" fillId="5" borderId="5" xfId="0" applyNumberFormat="1" applyFill="1" applyBorder="1"/>
    <xf numFmtId="0" fontId="2" fillId="5" borderId="6" xfId="0" applyFont="1" applyFill="1" applyBorder="1" applyAlignment="1">
      <alignment horizontal="center"/>
    </xf>
    <xf numFmtId="0" fontId="2" fillId="5" borderId="6" xfId="0" applyFont="1" applyFill="1" applyBorder="1"/>
    <xf numFmtId="0" fontId="0" fillId="8" borderId="8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2" xfId="0" applyFill="1" applyBorder="1" applyAlignment="1">
      <alignment horizontal="left"/>
    </xf>
    <xf numFmtId="0" fontId="0" fillId="10" borderId="13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9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CB90-D636-45C8-ABD1-33146FBD20FD}">
  <dimension ref="C1:O19"/>
  <sheetViews>
    <sheetView tabSelected="1" workbookViewId="0">
      <selection activeCell="D5" sqref="D5"/>
    </sheetView>
  </sheetViews>
  <sheetFormatPr defaultRowHeight="14.4" x14ac:dyDescent="0.3"/>
  <cols>
    <col min="1" max="1" width="2.6640625" style="10" customWidth="1"/>
    <col min="2" max="2" width="2" style="10" customWidth="1"/>
    <col min="3" max="3" width="33.44140625" style="10" customWidth="1"/>
    <col min="4" max="4" width="13.6640625" style="10" customWidth="1"/>
    <col min="5" max="5" width="18" style="10" customWidth="1"/>
    <col min="6" max="6" width="3.6640625" style="10" customWidth="1"/>
    <col min="7" max="7" width="3.44140625" style="10" customWidth="1"/>
    <col min="8" max="8" width="8.88671875" style="10"/>
    <col min="9" max="9" width="11.77734375" style="10" customWidth="1"/>
    <col min="10" max="10" width="15.44140625" style="10" customWidth="1"/>
    <col min="11" max="11" width="2.5546875" style="10" customWidth="1"/>
    <col min="12" max="12" width="13.88671875" style="10" customWidth="1"/>
    <col min="13" max="13" width="15.33203125" style="10" customWidth="1"/>
    <col min="14" max="14" width="2.21875" style="10" customWidth="1"/>
    <col min="15" max="15" width="14" style="10" customWidth="1"/>
    <col min="16" max="16" width="24.6640625" style="10" customWidth="1"/>
    <col min="17" max="16384" width="8.88671875" style="10"/>
  </cols>
  <sheetData>
    <row r="1" spans="3:15" x14ac:dyDescent="0.3">
      <c r="C1" s="13" t="s">
        <v>57</v>
      </c>
    </row>
    <row r="3" spans="3:15" x14ac:dyDescent="0.3">
      <c r="I3" s="35" t="s">
        <v>49</v>
      </c>
      <c r="J3" s="36"/>
      <c r="K3" s="36"/>
      <c r="L3" s="36"/>
      <c r="M3" s="36"/>
      <c r="N3" s="36"/>
      <c r="O3" s="37"/>
    </row>
    <row r="4" spans="3:15" x14ac:dyDescent="0.3">
      <c r="C4" s="3" t="s">
        <v>4</v>
      </c>
      <c r="E4" s="9" t="s">
        <v>48</v>
      </c>
      <c r="I4" s="4" t="s">
        <v>45</v>
      </c>
      <c r="J4" s="38" t="s">
        <v>23</v>
      </c>
      <c r="K4" s="39"/>
      <c r="L4" s="40"/>
      <c r="M4" s="38" t="s">
        <v>24</v>
      </c>
      <c r="N4" s="39"/>
      <c r="O4" s="40"/>
    </row>
    <row r="5" spans="3:15" ht="15.6" x14ac:dyDescent="0.3">
      <c r="C5" s="1" t="s">
        <v>0</v>
      </c>
      <c r="D5" s="2">
        <v>800</v>
      </c>
      <c r="E5" s="11" t="s">
        <v>25</v>
      </c>
      <c r="I5" s="14" t="s">
        <v>5</v>
      </c>
      <c r="J5" s="15">
        <f>IF(calculator!D6&lt;=0.04,calculations!J4,IF(calculator!D6&gt;=0.1,calculations!L5,IF(AND(calculator!D6&gt;0.04,calculator!D6&lt;0.1),calculations!P5,"Nieprawidłowa odległość")))</f>
        <v>99.553433132940938</v>
      </c>
      <c r="K5" s="18" t="s">
        <v>22</v>
      </c>
      <c r="L5" s="19">
        <f>calculations!T$5</f>
        <v>12</v>
      </c>
      <c r="M5" s="15">
        <f>IF(calculator!D6&lt;=0.04,calculations!J4,IF(calculator!D6&gt;=0.1,calculations!L5,IF(AND(calculator!D6&gt;0.04,calculator!D6&lt;0.1),calculations!P5,"Nieprawidłowa odległość")))</f>
        <v>99.553433132940938</v>
      </c>
      <c r="N5" s="20" t="s">
        <v>22</v>
      </c>
      <c r="O5" s="17">
        <f>calculations!T$7</f>
        <v>17</v>
      </c>
    </row>
    <row r="6" spans="3:15" ht="15.6" x14ac:dyDescent="0.3">
      <c r="C6" s="1" t="s">
        <v>1</v>
      </c>
      <c r="D6" s="2">
        <v>0.1</v>
      </c>
      <c r="E6" s="11" t="s">
        <v>26</v>
      </c>
      <c r="I6" s="14" t="s">
        <v>6</v>
      </c>
      <c r="J6" s="15">
        <f>IF(calculator!D6&lt;=0.04,calculations!J4,IF(calculator!D6&gt;=0.1, calculations!M5,IF(AND(calculator!D6&gt;0.04,calculator!D6&lt;0.1),calculations!Q5,"Nieprawidłowa odległość")))</f>
        <v>89.913957413976874</v>
      </c>
      <c r="K6" s="16" t="s">
        <v>22</v>
      </c>
      <c r="L6" s="19">
        <f>calculations!T$5</f>
        <v>12</v>
      </c>
      <c r="M6" s="15">
        <f>IF(calculator!D6&lt;=0.04,calculations!J4,IF(calculator!D6&gt;=0.1, calculations!M5,IF(AND(calculator!D6&gt;0.04,calculator!D6&lt;0.1),calculations!Q5,"Nieprawidłowa odległość")))</f>
        <v>89.913957413976874</v>
      </c>
      <c r="N6" s="20" t="s">
        <v>22</v>
      </c>
      <c r="O6" s="17">
        <f>calculations!T$7</f>
        <v>17</v>
      </c>
    </row>
    <row r="7" spans="3:15" ht="15.6" x14ac:dyDescent="0.3">
      <c r="C7" s="1" t="s">
        <v>2</v>
      </c>
      <c r="D7" s="2">
        <v>10</v>
      </c>
      <c r="E7" s="12" t="s">
        <v>50</v>
      </c>
      <c r="I7" s="14" t="s">
        <v>7</v>
      </c>
      <c r="J7" s="15">
        <f>IF(calculator!D6&lt;=0.04,calculations!J4,IF(calculator!D6&gt;=0.1,calculations!N5,IF(AND(calculator!D6&gt;0.04,calculator!D6&lt;0.1),calculations!R5,"Nieprawidłowa odległość")))</f>
        <v>71.54156015560487</v>
      </c>
      <c r="K7" s="16" t="s">
        <v>22</v>
      </c>
      <c r="L7" s="19">
        <f>calculations!T$5</f>
        <v>12</v>
      </c>
      <c r="M7" s="15">
        <f>IF(calculator!D6&lt;=0.04,calculations!J4,IF(calculator!D6&gt;=0.1,calculations!N5,IF(AND(calculator!D6&gt;0.04,calculator!D6&lt;0.1),calculations!R5,"Nieprawidłowa odległość")))</f>
        <v>71.54156015560487</v>
      </c>
      <c r="N7" s="20" t="s">
        <v>22</v>
      </c>
      <c r="O7" s="17">
        <f>calculations!T$7</f>
        <v>17</v>
      </c>
    </row>
    <row r="8" spans="3:15" x14ac:dyDescent="0.3">
      <c r="C8" s="1" t="s">
        <v>3</v>
      </c>
      <c r="D8" s="2">
        <v>1.5</v>
      </c>
      <c r="E8" s="12" t="s">
        <v>51</v>
      </c>
      <c r="I8" s="35" t="s">
        <v>54</v>
      </c>
      <c r="J8" s="36"/>
      <c r="K8" s="36"/>
      <c r="L8" s="36"/>
      <c r="M8" s="36"/>
      <c r="N8" s="36"/>
      <c r="O8" s="37"/>
    </row>
    <row r="9" spans="3:15" x14ac:dyDescent="0.3">
      <c r="I9" s="4" t="s">
        <v>45</v>
      </c>
      <c r="J9" s="38" t="s">
        <v>23</v>
      </c>
      <c r="K9" s="39"/>
      <c r="L9" s="40"/>
      <c r="M9" s="38" t="s">
        <v>24</v>
      </c>
      <c r="N9" s="39"/>
      <c r="O9" s="40"/>
    </row>
    <row r="10" spans="3:15" ht="15.6" x14ac:dyDescent="0.3">
      <c r="I10" s="14" t="s">
        <v>5</v>
      </c>
      <c r="J10" s="15">
        <f>IF(calculator!D6&lt;=0.04,calculations!J4,IF(calculator!D6&gt;=0.1,calculations!L7,IF(AND(calculator!D6&gt;0.04,calculator!D6&lt;0.1),calculations!P7,"Nieprawidłowa odległość")))</f>
        <v>70.561799739838875</v>
      </c>
      <c r="K10" s="16" t="s">
        <v>22</v>
      </c>
      <c r="L10" s="17">
        <f>calculations!T$5</f>
        <v>12</v>
      </c>
      <c r="M10" s="15">
        <f>IF(calculator!D6&lt;=0.04,calculations!J4,IF(calculator!D6&gt;=0.1,calculations!L7,IF(AND(calculator!D6&gt;0.04,calculator!D6&lt;0.1),calculations!P7,"Nieprawidłowa odległość")))</f>
        <v>70.561799739838875</v>
      </c>
      <c r="N10" s="20" t="s">
        <v>22</v>
      </c>
      <c r="O10" s="17">
        <f>calculations!T$7</f>
        <v>17</v>
      </c>
    </row>
    <row r="11" spans="3:15" ht="15.6" x14ac:dyDescent="0.3">
      <c r="I11" s="14" t="s">
        <v>6</v>
      </c>
      <c r="J11" s="15">
        <f>IF(calculator!D6&lt;=0.04,calculations!J4,IF(calculator!D6&gt;=0.1,calculations!M7,IF(AND(calculator!D6&gt;0.04,calculator!D6&lt;0.1),calculations!Q7,"Nieprawidłowa odległość")))</f>
        <v>70.561799739838875</v>
      </c>
      <c r="K11" s="16" t="s">
        <v>22</v>
      </c>
      <c r="L11" s="17">
        <f>calculations!T$5</f>
        <v>12</v>
      </c>
      <c r="M11" s="15">
        <f>IF(calculator!D6&lt;=0.04,calculations!J4,IF(calculator!D6&gt;=0.1,calculations!M7,IF(AND(calculator!D6&gt;0.04,calculator!D6&lt;0.1),calculations!Q7,"Nieprawidłowa odległość")))</f>
        <v>70.561799739838875</v>
      </c>
      <c r="N11" s="20" t="s">
        <v>22</v>
      </c>
      <c r="O11" s="17">
        <f>calculations!T$7</f>
        <v>17</v>
      </c>
    </row>
    <row r="12" spans="3:15" ht="15.6" x14ac:dyDescent="0.3">
      <c r="I12" s="14" t="s">
        <v>7</v>
      </c>
      <c r="J12" s="21">
        <f>IF(calculator!D6&lt;=0.04,calculations!J4,IF(calculator!D6&gt;=0.1,calculations!N7,IF(AND(calculator!D6&gt;0.04,calculator!D6&lt;0.1),calculations!R7,"Nieprawidłowa odległość")))</f>
        <v>70.561799739838875</v>
      </c>
      <c r="K12" s="22" t="s">
        <v>22</v>
      </c>
      <c r="L12" s="17">
        <f>calculations!T$5</f>
        <v>12</v>
      </c>
      <c r="M12" s="21">
        <f>IF(calculator!D6&lt;=0.04,calculations!J4,IF(calculator!D6&gt;=0.1,calculations!N7,IF(AND(calculator!D6&gt;0.04,calculator!D6&lt;0.1),calculations!R7,"Nieprawidłowa odległość")))</f>
        <v>70.561799739838875</v>
      </c>
      <c r="N12" s="23" t="s">
        <v>22</v>
      </c>
      <c r="O12" s="17">
        <f>calculations!T$7</f>
        <v>17</v>
      </c>
    </row>
    <row r="14" spans="3:15" x14ac:dyDescent="0.3">
      <c r="C14" s="24" t="s">
        <v>53</v>
      </c>
    </row>
    <row r="15" spans="3:15" x14ac:dyDescent="0.3">
      <c r="C15" s="41" t="s">
        <v>52</v>
      </c>
      <c r="D15" s="42"/>
      <c r="E15" s="42"/>
      <c r="F15" s="42"/>
      <c r="G15" s="42"/>
      <c r="H15" s="42"/>
      <c r="I15" s="42"/>
      <c r="J15" s="42"/>
      <c r="K15" s="42"/>
      <c r="L15" s="42"/>
      <c r="M15" s="25"/>
    </row>
    <row r="16" spans="3:15" x14ac:dyDescent="0.3">
      <c r="C16" s="26" t="s">
        <v>59</v>
      </c>
      <c r="D16" s="33"/>
      <c r="E16" s="33"/>
      <c r="F16" s="33"/>
      <c r="G16" s="33"/>
      <c r="H16" s="33"/>
      <c r="I16" s="33"/>
      <c r="J16" s="33"/>
      <c r="K16" s="33"/>
      <c r="L16" s="33"/>
      <c r="M16" s="27"/>
    </row>
    <row r="17" spans="3:13" x14ac:dyDescent="0.3">
      <c r="C17" s="26" t="s">
        <v>58</v>
      </c>
      <c r="D17" s="33"/>
      <c r="E17" s="33"/>
      <c r="F17" s="33"/>
      <c r="G17" s="33"/>
      <c r="H17" s="33"/>
      <c r="I17" s="33"/>
      <c r="J17" s="33"/>
      <c r="K17" s="33"/>
      <c r="L17" s="33"/>
      <c r="M17" s="27"/>
    </row>
    <row r="18" spans="3:13" x14ac:dyDescent="0.3">
      <c r="C18" s="28" t="s">
        <v>55</v>
      </c>
      <c r="D18" s="34"/>
      <c r="E18" s="34"/>
      <c r="F18" s="34"/>
      <c r="G18" s="34"/>
      <c r="H18" s="34"/>
      <c r="I18" s="34"/>
      <c r="J18" s="34"/>
      <c r="K18" s="34"/>
      <c r="L18" s="34"/>
      <c r="M18" s="29"/>
    </row>
    <row r="19" spans="3:13" x14ac:dyDescent="0.3">
      <c r="C19" s="30" t="s">
        <v>56</v>
      </c>
      <c r="D19" s="31"/>
      <c r="E19" s="31"/>
      <c r="F19" s="31"/>
      <c r="G19" s="31"/>
      <c r="H19" s="31"/>
      <c r="I19" s="31"/>
      <c r="J19" s="31"/>
      <c r="K19" s="31"/>
      <c r="L19" s="31"/>
      <c r="M19" s="32"/>
    </row>
  </sheetData>
  <mergeCells count="7">
    <mergeCell ref="I3:O3"/>
    <mergeCell ref="M9:O9"/>
    <mergeCell ref="J9:L9"/>
    <mergeCell ref="C15:L15"/>
    <mergeCell ref="M4:O4"/>
    <mergeCell ref="J4:L4"/>
    <mergeCell ref="I8:O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CCD8-D7FF-491E-A5E9-F80FBE88F164}">
  <dimension ref="A2:T46"/>
  <sheetViews>
    <sheetView topLeftCell="G1" zoomScale="85" zoomScaleNormal="85" workbookViewId="0">
      <selection activeCell="J17" sqref="J17"/>
    </sheetView>
  </sheetViews>
  <sheetFormatPr defaultRowHeight="14.4" x14ac:dyDescent="0.3"/>
  <cols>
    <col min="2" max="2" width="9.33203125" customWidth="1"/>
    <col min="6" max="6" width="4.5546875" customWidth="1"/>
    <col min="7" max="7" width="21.44140625" customWidth="1"/>
    <col min="8" max="8" width="14.21875" customWidth="1"/>
    <col min="9" max="9" width="11.33203125" customWidth="1"/>
    <col min="10" max="10" width="26.33203125" customWidth="1"/>
    <col min="11" max="11" width="4.5546875" customWidth="1"/>
    <col min="12" max="12" width="24" customWidth="1"/>
    <col min="13" max="13" width="21.44140625" customWidth="1"/>
    <col min="14" max="14" width="18.88671875" customWidth="1"/>
    <col min="15" max="15" width="4.33203125" customWidth="1"/>
    <col min="16" max="16" width="26" customWidth="1"/>
    <col min="17" max="17" width="14.6640625" customWidth="1"/>
    <col min="18" max="18" width="15.33203125" customWidth="1"/>
    <col min="19" max="19" width="3.6640625" customWidth="1"/>
    <col min="20" max="20" width="22.21875" customWidth="1"/>
  </cols>
  <sheetData>
    <row r="2" spans="1:20" x14ac:dyDescent="0.3">
      <c r="A2" s="43" t="s">
        <v>40</v>
      </c>
      <c r="B2" s="43"/>
      <c r="C2" s="43"/>
      <c r="D2" s="43"/>
      <c r="E2" s="43"/>
      <c r="F2" s="43"/>
      <c r="G2" s="43"/>
      <c r="H2" s="43"/>
      <c r="J2" s="6" t="s">
        <v>33</v>
      </c>
      <c r="L2" s="43" t="s">
        <v>34</v>
      </c>
      <c r="M2" s="43"/>
      <c r="N2" s="43"/>
      <c r="P2" s="43" t="s">
        <v>35</v>
      </c>
      <c r="Q2" s="43"/>
      <c r="R2" s="43"/>
    </row>
    <row r="3" spans="1:20" ht="15.6" x14ac:dyDescent="0.3">
      <c r="A3" s="6" t="s">
        <v>36</v>
      </c>
      <c r="B3" s="6" t="s">
        <v>37</v>
      </c>
      <c r="C3" s="6" t="s">
        <v>29</v>
      </c>
      <c r="D3" s="6" t="s">
        <v>30</v>
      </c>
      <c r="E3" s="6" t="s">
        <v>8</v>
      </c>
      <c r="F3" s="6" t="s">
        <v>9</v>
      </c>
      <c r="G3" s="6" t="s">
        <v>38</v>
      </c>
      <c r="H3" s="6" t="s">
        <v>39</v>
      </c>
      <c r="J3" s="6" t="s">
        <v>11</v>
      </c>
      <c r="L3" s="43" t="s">
        <v>27</v>
      </c>
      <c r="M3" s="43"/>
      <c r="N3" s="43"/>
      <c r="P3" s="43" t="s">
        <v>27</v>
      </c>
      <c r="Q3" s="43"/>
      <c r="R3" s="43"/>
      <c r="T3" s="8" t="s">
        <v>19</v>
      </c>
    </row>
    <row r="4" spans="1:20" x14ac:dyDescent="0.3">
      <c r="A4" s="7">
        <f>calculator!D5</f>
        <v>800</v>
      </c>
      <c r="B4" s="7">
        <f>calculator!D6</f>
        <v>0.1</v>
      </c>
      <c r="C4" s="7">
        <f>IF(MIN(calculator!D7,calculator!D8)&lt;1,1,MIN(calculator!D7,calculator!D8))</f>
        <v>1.5</v>
      </c>
      <c r="D4" s="7">
        <f>IF(MAX(calculator!D7,calculator!D8)&lt;1,1,MAX(calculator!D7,calculator!D8))</f>
        <v>10</v>
      </c>
      <c r="E4" s="7">
        <f>(1.1*LOG10(calculator!D5)-0.7)*MIN(10,calculations!C4)-(1.56*LOG10(calculator!D5)-0.8)+MAX(0,20*LOG10(calculations!C4/10))</f>
        <v>1.1278098829275329E-2</v>
      </c>
      <c r="F4" s="7">
        <f>MIN(0,20*LOG10(D4/30))</f>
        <v>-9.5424250943932485</v>
      </c>
      <c r="G4" s="7">
        <f>(1.1*LOG10(calculator!D5)-0.7)*MIN(10,calculations!D4)-(1.56*LOG10(calculator!D5)-0.8)+MAX(0,20*LOG10(calculations!D4/10))</f>
        <v>21.205169477203953</v>
      </c>
      <c r="H4" s="7">
        <f>IF(calculator!D6&lt;=20, 1, 1+(0.14+1.87*10^(-4)*calculator!D5+1.07*10^(-3)*calculations!D4)*(LOG10(calculator!D6/20)^(0.8)))</f>
        <v>1</v>
      </c>
      <c r="J4" s="7">
        <f>IF(J6&gt;=G7,J6,G7)</f>
        <v>70.561799739838875</v>
      </c>
      <c r="L4" s="6" t="s">
        <v>10</v>
      </c>
      <c r="M4" s="6" t="s">
        <v>12</v>
      </c>
      <c r="N4" s="6" t="s">
        <v>18</v>
      </c>
      <c r="P4" s="6" t="s">
        <v>10</v>
      </c>
      <c r="Q4" s="6" t="s">
        <v>12</v>
      </c>
      <c r="R4" s="6" t="s">
        <v>18</v>
      </c>
      <c r="T4" s="6" t="s">
        <v>20</v>
      </c>
    </row>
    <row r="5" spans="1:20" x14ac:dyDescent="0.3">
      <c r="J5" s="6" t="s">
        <v>32</v>
      </c>
      <c r="L5" s="7">
        <f>IF(L11&gt;=G7,L11,G7)</f>
        <v>99.553433132940938</v>
      </c>
      <c r="M5" s="7">
        <f>IF(M11&gt;=G7,M11,G7)</f>
        <v>89.913957413976874</v>
      </c>
      <c r="N5" s="7">
        <f>IF(N11&gt;=G7,N11,G7)</f>
        <v>71.54156015560487</v>
      </c>
      <c r="P5" s="7">
        <f>IF(P11&gt;=G7,P11, G7)</f>
        <v>99.553433132940938</v>
      </c>
      <c r="Q5" s="7">
        <f>IF(Q11&gt;=G7,Q11,G7)</f>
        <v>89.913957413976874</v>
      </c>
      <c r="R5" s="7">
        <f>IF(R11&gt;=G7,R11,G7)</f>
        <v>71.54156015560487</v>
      </c>
      <c r="T5" s="7">
        <f>IF(calculator!D6&lt;=0.04, 3.5, IF(AND(calculator!D6&gt;0.04,calculator!D6&lt;=0.1),T11,IF(AND(calculator!D6&gt;0.1,calculator!D6&lt;=0.2),12,IF(AND(calculator!D6&gt;0.2,calculator!D6&lt;=0.6),T16, IF(calculator!D6&gt;0.6,9,0)))))</f>
        <v>12</v>
      </c>
    </row>
    <row r="6" spans="1:20" x14ac:dyDescent="0.3">
      <c r="G6" s="5" t="s">
        <v>31</v>
      </c>
      <c r="J6" s="7">
        <f>32.4+20*LOG10(A4)+10*LOG10(B4^2+((calculations!D4-calculations!C4)^2)/(10^6))</f>
        <v>70.493064706977762</v>
      </c>
      <c r="L6" s="43" t="s">
        <v>17</v>
      </c>
      <c r="M6" s="43"/>
      <c r="N6" s="43"/>
      <c r="P6" s="43" t="s">
        <v>17</v>
      </c>
      <c r="Q6" s="43"/>
      <c r="R6" s="43"/>
      <c r="T6" s="6" t="s">
        <v>21</v>
      </c>
    </row>
    <row r="7" spans="1:20" x14ac:dyDescent="0.3">
      <c r="G7">
        <f>32.5+20*LOG(A4)+20*LOG(B4)</f>
        <v>70.561799739838875</v>
      </c>
      <c r="L7" s="7">
        <f>IF(L13&gt;=G7,L13,G7)</f>
        <v>70.561799739838875</v>
      </c>
      <c r="M7" s="7">
        <f>IF(M13&gt;=G7,M13,G7)</f>
        <v>70.561799739838875</v>
      </c>
      <c r="N7" s="7">
        <f>IF(N13&gt;=G7,N13,G7)</f>
        <v>70.561799739838875</v>
      </c>
      <c r="P7" s="7">
        <f>IF(P13&gt;=G7,P13,G7)</f>
        <v>70.561799739838875</v>
      </c>
      <c r="Q7" s="7">
        <f>IF(Q13&gt;=G7,Q13,G7)</f>
        <v>70.561799739838875</v>
      </c>
      <c r="R7" s="7">
        <f>IF(R13&gt;=G7,R13,G7)</f>
        <v>70.561799739838875</v>
      </c>
      <c r="T7" s="7">
        <f>IF(calculator!D6&lt;=0.04, 3.5, IF(AND(calculator!D6&gt;0.04,calculator!D6&lt;=0.1),T13,IF(AND(calculator!D6&gt;0.1,calculator!D6&lt;=0.2),17,IF(AND(calculator!D6&gt;0.2,calculator!D6&lt;=0.6),T18, IF(calculator!D6&gt;0.6,9,0)))))</f>
        <v>17</v>
      </c>
    </row>
    <row r="9" spans="1:20" x14ac:dyDescent="0.3">
      <c r="L9" s="43" t="s">
        <v>32</v>
      </c>
      <c r="M9" s="43"/>
      <c r="N9" s="43"/>
      <c r="P9" s="43" t="s">
        <v>32</v>
      </c>
      <c r="Q9" s="43"/>
      <c r="R9" s="43"/>
      <c r="T9" s="6" t="s">
        <v>46</v>
      </c>
    </row>
    <row r="10" spans="1:20" x14ac:dyDescent="0.3">
      <c r="L10" s="6" t="s">
        <v>10</v>
      </c>
      <c r="M10" s="6" t="s">
        <v>12</v>
      </c>
      <c r="N10" s="6" t="s">
        <v>18</v>
      </c>
      <c r="P10" s="6" t="s">
        <v>10</v>
      </c>
      <c r="Q10" s="6" t="s">
        <v>12</v>
      </c>
      <c r="R10" s="6" t="s">
        <v>42</v>
      </c>
      <c r="T10" s="6" t="s">
        <v>20</v>
      </c>
    </row>
    <row r="11" spans="1:20" x14ac:dyDescent="0.3">
      <c r="L11" s="7">
        <f>IF(A4&lt;=150,L16,IF(AND(A4&gt;150,A4&lt;=1500),L18,IF(AND(A4&gt;1500,A4&lt;=2000),L20,IF(A4&gt;2000,L22,"Nieprawidłowa częstotliwość"))))</f>
        <v>99.553433132940938</v>
      </c>
      <c r="M11" s="7">
        <f>L11-2*(LOG10((MIN(MAX(150,A4),2000))/28))^2-5.4</f>
        <v>89.913957413976874</v>
      </c>
      <c r="N11" s="7">
        <f xml:space="preserve"> L11-4.78*(LOG10(MIN(MAX(150,A4),2000)))^2+18.33*LOG10(MIN(MAX(150,A4),2000))-40.94</f>
        <v>71.54156015560487</v>
      </c>
      <c r="P11" s="7">
        <f>IF(P25="Nieprawidłowa częstotliwość","Nieprawidłowa częstotliwość",P41+((LOG10(B4)-LOG10(0.04))/(LOG10(0.1)-LOG10(0.04)))*(P25-P41))</f>
        <v>99.553433132940938</v>
      </c>
      <c r="Q11" s="7">
        <f>IF(Q17="Nieprawidłowa częstotliwość", "Nieprawidłowa częstotliwość",P41+((LOG10(B4)-LOG10(0.04))/(LOG10(0.1)-LOG10(0.04)))*(Q17-P41))</f>
        <v>89.913957413976874</v>
      </c>
      <c r="R11" s="7">
        <f>IF(R17="Nieprawidłowa częstotliwość", "Nieprawidłowa częstotliwość",P41+((LOG10(B4)-LOG10(0.04))/(LOG10(0.1)-LOG10(0.04)))*(R17-P41))</f>
        <v>71.54156015560487</v>
      </c>
      <c r="T11" s="7">
        <f>3.5+(12-3.5)/(0.1-0.04)*(calculator!D6-0.04)</f>
        <v>12</v>
      </c>
    </row>
    <row r="12" spans="1:20" x14ac:dyDescent="0.3">
      <c r="L12" s="44" t="s">
        <v>17</v>
      </c>
      <c r="M12" s="45"/>
      <c r="N12" s="46"/>
      <c r="P12" s="43" t="s">
        <v>17</v>
      </c>
      <c r="Q12" s="43"/>
      <c r="R12" s="43"/>
      <c r="T12" s="6" t="s">
        <v>21</v>
      </c>
    </row>
    <row r="13" spans="1:20" x14ac:dyDescent="0.3">
      <c r="L13" s="7">
        <f>IF(A4&lt;=150,L26,IF(AND(A4&gt;150,A4&lt;=1500),L28,IF(AND(A4&gt;1500,A4&lt;=2000),L30,IF(A4&gt;2000,L32,"Nieprawidłowa częstotliwość"))))</f>
        <v>68.805838561343734</v>
      </c>
      <c r="M13" s="7">
        <f xml:space="preserve"> L13-2*(LOG10((MIN(MAX(150,A4),2000))/28))^2-5.4</f>
        <v>59.166362842379677</v>
      </c>
      <c r="N13" s="7">
        <f>L13-4.78*(LOG10(MIN(MAX(150,calculator!D5),2000)))^2+18.33*LOG10(MIN(MAX(150,A4),2000))-40.94</f>
        <v>40.793965584007665</v>
      </c>
      <c r="P13" s="7">
        <f>IF(P37="Nieprawidłowa częstotliwość", "Nieprawidłowa częstotliwość", P41+((LOG10(B4)-LOG10(0.04))/(LOG10(0.1)-LOG10(0.04)))*(P37-P41))</f>
        <v>68.805838561343734</v>
      </c>
      <c r="Q13" s="7">
        <f>IF(Q21="Nieprawidłowa częstotliwość", "Nieprawidłowa częstotliwość",P41+((LOG10(B4)-LOG10(0.04))/(LOG10(0.1)-LOG10(0.04)))*(Q21-P41))</f>
        <v>59.166362842379677</v>
      </c>
      <c r="R13" s="7">
        <f>IF(R21="Nieprawidłowa częstotliwość", "Nieprawidłowa częstotliwość",P41+((LOG10(B4)-LOG10(0.04))/(LOG10(0.1)-LOG10(0.04)))*(R21-P41))</f>
        <v>40.793965584007665</v>
      </c>
      <c r="T13" s="7">
        <f>3.5+(17-3.5)/(0.1-0.04)*(calculator!D6-0.04)</f>
        <v>17</v>
      </c>
    </row>
    <row r="14" spans="1:20" x14ac:dyDescent="0.3">
      <c r="T14" s="6" t="s">
        <v>47</v>
      </c>
    </row>
    <row r="15" spans="1:20" x14ac:dyDescent="0.3">
      <c r="L15" s="6" t="s">
        <v>13</v>
      </c>
      <c r="P15" s="6" t="s">
        <v>28</v>
      </c>
      <c r="Q15" s="6" t="s">
        <v>41</v>
      </c>
      <c r="R15" s="6" t="s">
        <v>28</v>
      </c>
      <c r="T15" s="6" t="s">
        <v>20</v>
      </c>
    </row>
    <row r="16" spans="1:20" x14ac:dyDescent="0.3">
      <c r="L16" s="7">
        <f>69.6+26.2*LOG10(150)-20*LOG10(150/A4)-13.82*LOG10(MAX(30,calculations!D4))+(44.9-6.55*LOG10(MAX(30,calculations!D4)))*LOG10(calculator!D6)^calculations!H4-calculations!E4-calculations!F4</f>
        <v>95.046041019736123</v>
      </c>
      <c r="P16" s="6" t="s">
        <v>13</v>
      </c>
      <c r="Q16" s="6" t="s">
        <v>44</v>
      </c>
      <c r="R16" s="6" t="s">
        <v>44</v>
      </c>
      <c r="T16" s="7">
        <f>12+(9-12)/(0.6-0.2)*(calculator!D6-0.2)</f>
        <v>12.75</v>
      </c>
    </row>
    <row r="17" spans="12:20" x14ac:dyDescent="0.3">
      <c r="L17" s="6" t="s">
        <v>14</v>
      </c>
      <c r="P17" s="7">
        <f>69.6+26.2*LOG10(150)-20*LOG10(150/A4)-13.82*LOG10(MAX(30,calculations!D4))+(44.9-6.55*LOG10(MAX(30,calculations!D4)))*LOG10(0.1)^calculations!H4-calculations!E4-calculations!F4</f>
        <v>95.046041019736123</v>
      </c>
      <c r="Q17" s="7">
        <f>IF(P25="Nieprawidłowa częstotliwość", "Nieprawidłowa częstotliwość", P25-2*(LOG10(((MIN(MAX(150,A4),2000))/28))^2)-5.4)</f>
        <v>89.913957413976874</v>
      </c>
      <c r="R17" s="7">
        <f>IF(P25="Nieprawidłowa częstotliwość", "Nieprawidłowa częstotliwość",P25-4.78*(LOG10(MIN(MAX(150,A4),2000)))^2+18.33*LOG10(MIN(MAX(150,A4),2000))-40.94)</f>
        <v>71.54156015560487</v>
      </c>
      <c r="T17" s="6" t="s">
        <v>21</v>
      </c>
    </row>
    <row r="18" spans="12:20" x14ac:dyDescent="0.3">
      <c r="L18" s="7">
        <f>69.6+26.2*LOG10(A4)-13.82*LOG10(MAX(30,calculations!D4))+(44.9-6.55*LOG10(MAX(30,calculations!D4)))*LOG10(B4)^calculations!H4-calculations!E4-calculations!F4</f>
        <v>99.553433132940938</v>
      </c>
      <c r="P18" s="6" t="s">
        <v>14</v>
      </c>
      <c r="Q18" s="5"/>
      <c r="R18" s="5"/>
      <c r="T18" s="7">
        <f>12+(9-17)/(0.6-0.2)*(calculator!D6-0.2)</f>
        <v>14</v>
      </c>
    </row>
    <row r="19" spans="12:20" x14ac:dyDescent="0.3">
      <c r="L19" s="6" t="s">
        <v>15</v>
      </c>
      <c r="P19" s="7">
        <f>69.6+26.2*LOG10(A4)-13.82*LOG10(MAX(30,calculations!D4))+(44.9-6.55*LOG10(MAX(30,calculations!D4)))*LOG10(0.1)^calculations!H4-calculations!E4-calculations!F4</f>
        <v>99.553433132940938</v>
      </c>
      <c r="Q19" s="43" t="s">
        <v>17</v>
      </c>
      <c r="R19" s="43"/>
    </row>
    <row r="20" spans="12:20" x14ac:dyDescent="0.3">
      <c r="L20" s="7">
        <f>46.3+33.9*LOG10(A4)-13.82*LOG10(MAX(30,calculations!D4))+(44.9-6.55*LOG10(MAX(30,calculations!D4)))*LOG10(B4)^calculations!H4-calculations!E4-calculations!F4</f>
        <v>98.607226032778897</v>
      </c>
      <c r="P20" s="6" t="s">
        <v>15</v>
      </c>
      <c r="Q20" s="6" t="s">
        <v>44</v>
      </c>
      <c r="R20" s="6" t="s">
        <v>44</v>
      </c>
    </row>
    <row r="21" spans="12:20" x14ac:dyDescent="0.3">
      <c r="L21" s="6" t="s">
        <v>16</v>
      </c>
      <c r="P21" s="7">
        <f>46.3+33.9*LOG10(A4)-13.82*LOG10(MAX(30,calculations!D4))+(44.9-6.55*LOG10(MAX(30,calculations!D4)))*LOG10(0.1)^calculations!H4-calculations!E4-calculations!F4</f>
        <v>98.607226032778897</v>
      </c>
      <c r="Q21" s="7">
        <f>IF(P37="Nieprawidłowa częstotliwość", "Nieprawidłowa częstotliwość",P37-2*(LOG10(((MIN(MAX(150,A4),2000))/28))^2)-5.4)</f>
        <v>59.166362842379677</v>
      </c>
      <c r="R21" s="7">
        <f>IF(P37="Nieprawidłowa częstotliwość","Nieprawidłowa częstotliwość",P37-4.78*(LOG10(MIN(MAX(150,A4),2000)))^2+18.33*LOG10(MIN(MAX(150,A4),2000))-40.94)</f>
        <v>40.793965584007665</v>
      </c>
    </row>
    <row r="22" spans="12:20" x14ac:dyDescent="0.3">
      <c r="L22" s="7">
        <f>46.3+33.9*LOG10(2000)+10*LOG10(A4/2000)-13.82*LOG10(MAX(30,calculations!D4))+(44.9-6.55*LOG10(MAX(30,calculations!D4)))*LOG10(B4)^calculations!H4-calculations!E4-calculations!F4</f>
        <v>108.11799224004061</v>
      </c>
      <c r="P22" s="6" t="s">
        <v>16</v>
      </c>
    </row>
    <row r="23" spans="12:20" x14ac:dyDescent="0.3">
      <c r="L23" s="5"/>
      <c r="P23" s="7">
        <f>46.3+33.9*LOG10(2000)+10*LOG10(A4/2000)-13.82*LOG10(MAX(30,calculations!D4))+(44.9-6.55*LOG10(MAX(30,calculations!D4)))*LOG10(0.1)^calculations!H4-calculations!E4-calculations!F4</f>
        <v>108.11799224004061</v>
      </c>
    </row>
    <row r="24" spans="12:20" x14ac:dyDescent="0.3">
      <c r="L24" s="6" t="s">
        <v>17</v>
      </c>
      <c r="P24" s="6" t="s">
        <v>44</v>
      </c>
      <c r="Q24" s="5"/>
      <c r="R24" s="5"/>
    </row>
    <row r="25" spans="12:20" x14ac:dyDescent="0.3">
      <c r="L25" s="6" t="s">
        <v>13</v>
      </c>
      <c r="P25" s="7">
        <f>IF(A4&lt;=150,P17,IF(AND(A4&gt;150,A4&lt;=1500),P19,IF(AND(A4&gt;1500,A4&lt;=2000),P21,IF(A4&gt;2000,P23,"Nieprawidłowa częstotliwość"))))</f>
        <v>99.553433132940938</v>
      </c>
    </row>
    <row r="26" spans="12:20" x14ac:dyDescent="0.3">
      <c r="L26" s="7">
        <f>69.6+26.2*LOG10(150)-20*LOG10(150/A4)-13.82*LOG10(MAX(30,calculations!D4))+(44.9-6.55*LOG10(MAX(30,calculations!D4)))*LOG10(B4)^calculations!H4-calculations!E4-calculations!G4</f>
        <v>64.298446448138918</v>
      </c>
      <c r="P26" s="5"/>
    </row>
    <row r="27" spans="12:20" x14ac:dyDescent="0.3">
      <c r="L27" s="6" t="s">
        <v>14</v>
      </c>
      <c r="P27" s="6" t="s">
        <v>17</v>
      </c>
    </row>
    <row r="28" spans="12:20" x14ac:dyDescent="0.3">
      <c r="L28" s="7">
        <f>69.6+26.2*LOG10(A4)-13.82*LOG10(MAX(30,calculations!D4))+(44.9-6.55*LOG10(MAX(30,calculations!D4)))*LOG10(B4)^calculations!H4-calculations!E4-calculations!G4</f>
        <v>68.805838561343734</v>
      </c>
      <c r="P28" s="6" t="s">
        <v>13</v>
      </c>
    </row>
    <row r="29" spans="12:20" x14ac:dyDescent="0.3">
      <c r="L29" s="6" t="s">
        <v>15</v>
      </c>
      <c r="P29" s="7">
        <f>69.6+26.2*LOG10(150)-20*LOG10(150/A4)-13.82*LOG10(MAX(30,calculations!D4))+(44.9-6.55*LOG10(MAX(30,calculations!D4)))*LOG10(0.1)^calculations!H4-calculations!E4-calculations!G4</f>
        <v>64.298446448138918</v>
      </c>
    </row>
    <row r="30" spans="12:20" x14ac:dyDescent="0.3">
      <c r="L30" s="7">
        <f>46.3+33.9*LOG10(A4)-13.82*LOG10(MAX(30,calculations!D4))+(44.9-6.55*LOG10(MAX(30,calculations!D4)))*LOG10(B4)^calculations!H4-calculations!E4-calculations!G4</f>
        <v>67.859631461181692</v>
      </c>
      <c r="P30" s="6" t="s">
        <v>14</v>
      </c>
    </row>
    <row r="31" spans="12:20" x14ac:dyDescent="0.3">
      <c r="L31" s="6" t="s">
        <v>16</v>
      </c>
      <c r="P31" s="7">
        <f>69.6+26.2*LOG10(A4)-13.82*LOG10(MAX(30,calculations!D4))+(44.9-6.55*LOG10(MAX(30,calculations!D4)))*LOG10(0.1)^calculations!H4-calculations!E4-calculations!G4</f>
        <v>68.805838561343734</v>
      </c>
    </row>
    <row r="32" spans="12:20" x14ac:dyDescent="0.3">
      <c r="L32" s="7">
        <f>46.3+33.9*LOG10(2000)+10*LOG10(A4/2000)-13.82*LOG10(MAX(30,calculations!D4))+(44.9-6.55*LOG10(MAX(30,calculations!D4)))*LOG10(B4)^calculations!H4-calculations!E4-calculations!G4</f>
        <v>77.370397668443402</v>
      </c>
      <c r="P32" s="6" t="s">
        <v>15</v>
      </c>
    </row>
    <row r="33" spans="16:18" x14ac:dyDescent="0.3">
      <c r="P33" s="7">
        <f>46.3+33.9*LOG10(A4)-13.82*LOG10(MAX(30,calculations!D4))+(44.9-6.55*LOG10(MAX(30,calculations!D4)))*LOG10(0.1)^calculations!H4-calculations!E4-calculations!G4</f>
        <v>67.859631461181692</v>
      </c>
    </row>
    <row r="34" spans="16:18" x14ac:dyDescent="0.3">
      <c r="P34" s="6" t="s">
        <v>16</v>
      </c>
    </row>
    <row r="35" spans="16:18" x14ac:dyDescent="0.3">
      <c r="P35" s="7">
        <f>46.3+33.9*LOG10(2000)+10*LOG10(A4/2000)-13.82*LOG10(MAX(30,calculations!D4))+(44.9-6.55*LOG10(MAX(30,calculations!D4)))*LOG10(0.1)^calculations!H4-calculations!E4-calculations!G4</f>
        <v>77.370397668443402</v>
      </c>
    </row>
    <row r="36" spans="16:18" x14ac:dyDescent="0.3">
      <c r="P36" s="6" t="s">
        <v>44</v>
      </c>
    </row>
    <row r="37" spans="16:18" x14ac:dyDescent="0.3">
      <c r="P37" s="7">
        <f>IF(A4&lt;=150,P29,IF(AND(A4&gt;150,A4&lt;=1500),P31,IF(AND(A4&gt;1500,A4&lt;=2000),P33,IF(A4&gt;2000,P35,"Nieprawidłowa częstotliwość"))))</f>
        <v>68.805838561343734</v>
      </c>
    </row>
    <row r="39" spans="16:18" x14ac:dyDescent="0.3">
      <c r="P39" s="6" t="s">
        <v>43</v>
      </c>
    </row>
    <row r="40" spans="16:18" x14ac:dyDescent="0.3">
      <c r="P40" s="6" t="s">
        <v>44</v>
      </c>
    </row>
    <row r="41" spans="16:18" x14ac:dyDescent="0.3">
      <c r="P41" s="7">
        <f>32.4+20*LOG10(A4)+10*LOG10((0.04)^2+(calculations!D4-calculations!C4)^2/10^6)</f>
        <v>62.694811786085594</v>
      </c>
    </row>
    <row r="43" spans="16:18" x14ac:dyDescent="0.3">
      <c r="Q43" s="5"/>
      <c r="R43" s="5"/>
    </row>
    <row r="44" spans="16:18" x14ac:dyDescent="0.3">
      <c r="Q44" s="5"/>
      <c r="R44" s="5"/>
    </row>
    <row r="46" spans="16:18" x14ac:dyDescent="0.3">
      <c r="P46" s="5"/>
    </row>
  </sheetData>
  <mergeCells count="12">
    <mergeCell ref="Q19:R19"/>
    <mergeCell ref="P9:R9"/>
    <mergeCell ref="L9:N9"/>
    <mergeCell ref="A2:H2"/>
    <mergeCell ref="P12:R12"/>
    <mergeCell ref="L12:N12"/>
    <mergeCell ref="P2:R2"/>
    <mergeCell ref="P3:R3"/>
    <mergeCell ref="P6:R6"/>
    <mergeCell ref="L2:N2"/>
    <mergeCell ref="L3:N3"/>
    <mergeCell ref="L6:N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calculator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Julianna Godziszewska (263841)</dc:creator>
  <cp:lastModifiedBy>Julianna Godziszewska (263841)</cp:lastModifiedBy>
  <dcterms:created xsi:type="dcterms:W3CDTF">2024-03-27T08:43:59Z</dcterms:created>
  <dcterms:modified xsi:type="dcterms:W3CDTF">2024-07-21T19:03:38Z</dcterms:modified>
</cp:coreProperties>
</file>